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lebcik\Desktop\výběrová řízení 2021\Přelouč jídelna\SOUPIS PRACÍ S VÝKAZEM VÝMĚR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Stavby" localSheetId="1">Stavba!$C$2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Stavby" localSheetId="1">Stavba!$D$2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</workbook>
</file>

<file path=xl/calcChain.xml><?xml version="1.0" encoding="utf-8"?>
<calcChain xmlns="http://schemas.openxmlformats.org/spreadsheetml/2006/main">
  <c r="E26" i="1" l="1"/>
  <c r="E24" i="1"/>
  <c r="AC31" i="12"/>
  <c r="F39" i="1" s="1"/>
  <c r="AD31" i="12"/>
  <c r="G39" i="1" s="1"/>
  <c r="G8" i="12"/>
  <c r="K8" i="12"/>
  <c r="H49" i="1" s="1"/>
  <c r="I9" i="12"/>
  <c r="I8" i="12"/>
  <c r="G49" i="1" s="1"/>
  <c r="K9" i="12"/>
  <c r="M9" i="12"/>
  <c r="M8" i="12"/>
  <c r="O9" i="12"/>
  <c r="O8" i="12" s="1"/>
  <c r="Q9" i="12"/>
  <c r="Q8" i="12" s="1"/>
  <c r="U9" i="12"/>
  <c r="U8" i="12" s="1"/>
  <c r="G10" i="12"/>
  <c r="G31" i="12" s="1"/>
  <c r="K10" i="12"/>
  <c r="H50" i="1" s="1"/>
  <c r="I11" i="12"/>
  <c r="I10" i="12" s="1"/>
  <c r="G50" i="1" s="1"/>
  <c r="K11" i="12"/>
  <c r="M11" i="12"/>
  <c r="M10" i="12"/>
  <c r="O11" i="12"/>
  <c r="O10" i="12" s="1"/>
  <c r="Q11" i="12"/>
  <c r="Q10" i="12" s="1"/>
  <c r="U11" i="12"/>
  <c r="U10" i="12" s="1"/>
  <c r="I13" i="12"/>
  <c r="I12" i="12" s="1"/>
  <c r="G51" i="1" s="1"/>
  <c r="K13" i="12"/>
  <c r="M13" i="12"/>
  <c r="O13" i="12"/>
  <c r="Q13" i="12"/>
  <c r="Q12" i="12" s="1"/>
  <c r="U13" i="12"/>
  <c r="U12" i="12" s="1"/>
  <c r="G12" i="12"/>
  <c r="I14" i="12"/>
  <c r="K14" i="12"/>
  <c r="K12" i="12"/>
  <c r="H51" i="1" s="1"/>
  <c r="O14" i="12"/>
  <c r="O12" i="12" s="1"/>
  <c r="Q14" i="12"/>
  <c r="U14" i="12"/>
  <c r="I15" i="12"/>
  <c r="K15" i="12"/>
  <c r="M15" i="12"/>
  <c r="O15" i="12"/>
  <c r="Q15" i="12"/>
  <c r="U15" i="12"/>
  <c r="I17" i="12"/>
  <c r="I16" i="12" s="1"/>
  <c r="G52" i="1" s="1"/>
  <c r="K17" i="12"/>
  <c r="M17" i="12"/>
  <c r="O17" i="12"/>
  <c r="O16" i="12" s="1"/>
  <c r="Q17" i="12"/>
  <c r="Q16" i="12" s="1"/>
  <c r="U17" i="12"/>
  <c r="G16" i="12"/>
  <c r="I18" i="12"/>
  <c r="K18" i="12"/>
  <c r="O18" i="12"/>
  <c r="Q18" i="12"/>
  <c r="U18" i="12"/>
  <c r="I19" i="12"/>
  <c r="K19" i="12"/>
  <c r="K16" i="12" s="1"/>
  <c r="H52" i="1" s="1"/>
  <c r="G17" i="1" s="1"/>
  <c r="M19" i="12"/>
  <c r="O19" i="12"/>
  <c r="Q19" i="12"/>
  <c r="U19" i="12"/>
  <c r="M20" i="12"/>
  <c r="I20" i="12"/>
  <c r="K20" i="12"/>
  <c r="O20" i="12"/>
  <c r="Q20" i="12"/>
  <c r="U20" i="12"/>
  <c r="U16" i="12" s="1"/>
  <c r="I21" i="12"/>
  <c r="K21" i="12"/>
  <c r="M21" i="12"/>
  <c r="O21" i="12"/>
  <c r="Q21" i="12"/>
  <c r="U21" i="12"/>
  <c r="M22" i="12"/>
  <c r="I22" i="12"/>
  <c r="K22" i="12"/>
  <c r="O22" i="12"/>
  <c r="Q22" i="12"/>
  <c r="U22" i="12"/>
  <c r="I23" i="12"/>
  <c r="K23" i="12"/>
  <c r="M23" i="12"/>
  <c r="O23" i="12"/>
  <c r="Q23" i="12"/>
  <c r="U23" i="12"/>
  <c r="M24" i="12"/>
  <c r="I24" i="12"/>
  <c r="K24" i="12"/>
  <c r="O24" i="12"/>
  <c r="Q24" i="12"/>
  <c r="U24" i="12"/>
  <c r="I25" i="12"/>
  <c r="K25" i="12"/>
  <c r="M25" i="12"/>
  <c r="O25" i="12"/>
  <c r="Q25" i="12"/>
  <c r="U25" i="12"/>
  <c r="G26" i="12"/>
  <c r="K26" i="12"/>
  <c r="H53" i="1" s="1"/>
  <c r="I27" i="12"/>
  <c r="I26" i="12"/>
  <c r="G53" i="1" s="1"/>
  <c r="K27" i="12"/>
  <c r="M27" i="12"/>
  <c r="M26" i="12" s="1"/>
  <c r="O27" i="12"/>
  <c r="O26" i="12" s="1"/>
  <c r="Q27" i="12"/>
  <c r="Q26" i="12" s="1"/>
  <c r="U27" i="12"/>
  <c r="U26" i="12" s="1"/>
  <c r="G28" i="12"/>
  <c r="K28" i="12"/>
  <c r="H54" i="1" s="1"/>
  <c r="G19" i="1" s="1"/>
  <c r="I29" i="12"/>
  <c r="I28" i="12" s="1"/>
  <c r="G54" i="1" s="1"/>
  <c r="E19" i="1" s="1"/>
  <c r="K29" i="12"/>
  <c r="M29" i="12"/>
  <c r="M28" i="12"/>
  <c r="O29" i="12"/>
  <c r="O28" i="12" s="1"/>
  <c r="Q29" i="12"/>
  <c r="Q28" i="12" s="1"/>
  <c r="U29" i="12"/>
  <c r="U28" i="12" s="1"/>
  <c r="I20" i="1"/>
  <c r="G20" i="1"/>
  <c r="E20" i="1"/>
  <c r="I19" i="1"/>
  <c r="I21" i="1" s="1"/>
  <c r="I18" i="1"/>
  <c r="G18" i="1"/>
  <c r="E18" i="1"/>
  <c r="I17" i="1"/>
  <c r="I16" i="1"/>
  <c r="I55" i="1"/>
  <c r="AZ43" i="1"/>
  <c r="G27" i="1"/>
  <c r="F40" i="1"/>
  <c r="G23" i="1" s="1"/>
  <c r="G40" i="1"/>
  <c r="G26" i="1"/>
  <c r="H40" i="1"/>
  <c r="I40" i="1"/>
  <c r="J40" i="1"/>
  <c r="J39" i="1"/>
  <c r="J28" i="1"/>
  <c r="J26" i="1"/>
  <c r="G38" i="1"/>
  <c r="F38" i="1"/>
  <c r="H32" i="1"/>
  <c r="J23" i="1"/>
  <c r="J24" i="1"/>
  <c r="J25" i="1"/>
  <c r="J27" i="1"/>
  <c r="G28" i="1"/>
  <c r="M18" i="12"/>
  <c r="M16" i="12"/>
  <c r="M14" i="12"/>
  <c r="M12" i="12"/>
  <c r="G29" i="1" l="1"/>
  <c r="G24" i="1"/>
  <c r="E17" i="1"/>
  <c r="I39" i="1"/>
  <c r="H39" i="1"/>
  <c r="G55" i="1"/>
  <c r="E16" i="1"/>
  <c r="E21" i="1" s="1"/>
  <c r="H55" i="1"/>
  <c r="G16" i="1"/>
  <c r="G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<sst xmlns="http://schemas.openxmlformats.org/spreadsheetml/2006/main" count="240" uniqueCount="147">
  <si>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</si>
  <si>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</si>
  <si>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</si>
  <si>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</si>
  <si>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</si>
  <si>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Stavební úpravy jídelny a kuchyně budovy ŠJ, Obránců míru 1714, Přelouč</t>
  </si>
  <si>
    <t>Misto</t>
  </si>
  <si>
    <t>Obránců míru 1714, Přelouč</t>
  </si>
  <si>
    <t>Rozpočet:</t>
  </si>
  <si>
    <t>Objednatel:</t>
  </si>
  <si>
    <t>Město Přelouč</t>
  </si>
  <si>
    <t>IČ:</t>
  </si>
  <si>
    <t>00274101</t>
  </si>
  <si>
    <t>Československé armády 1665</t>
  </si>
  <si>
    <t>DIČ:</t>
  </si>
  <si>
    <t>CZ00274101</t>
  </si>
  <si>
    <t>53501</t>
  </si>
  <si>
    <t>Přelouč</t>
  </si>
  <si>
    <t>Projektant:</t>
  </si>
  <si>
    <t>Zhotovitel:</t>
  </si>
  <si>
    <t>Ing. Radek Čapský - Ing. Radek Čapský</t>
  </si>
  <si>
    <t>69856311</t>
  </si>
  <si>
    <t>Na Okrouhlíku 1246</t>
  </si>
  <si>
    <t>-</t>
  </si>
  <si>
    <t>53003</t>
  </si>
  <si>
    <t>Pardubice</t>
  </si>
  <si>
    <t>Vypracoval:</t>
  </si>
  <si>
    <t>Ing. Radek Čapský</t>
  </si>
  <si>
    <t>Rozpis ceny</t>
  </si>
  <si>
    <t>Dodávka</t>
  </si>
  <si>
    <t>Montáž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</si>
  <si>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</si>
  <si>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</si>
  <si>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</si>
  <si>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</si>
  <si>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</si>
  <si>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</si>
  <si>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</si>
  <si>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</si>
  <si>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</si>
  <si>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</si>
  <si>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</si>
  <si>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</si>
  <si>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</si>
  <si>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</si>
  <si>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</si>
  <si>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</si>
  <si>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</si>
  <si>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</si>
  <si>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</si>
  <si>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</si>
  <si>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</si>
  <si>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</si>
  <si>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</si>
  <si>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</si>
  <si>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</si>
  <si>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</si>
  <si>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</si>
  <si>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</si>
  <si>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</si>
  <si>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</si>
  <si>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</si>
  <si>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 xml:space="preserve">Popis rozpočtu:  - </t>
  </si>
  <si>
    <t>D1.4.2 Plynová odběrná zařízení, II. etapa</t>
  </si>
  <si>
    <t>Rekapitulace dílů</t>
  </si>
  <si>
    <t>Typ dílu</t>
  </si>
  <si>
    <t>4</t>
  </si>
  <si>
    <t>Vodorovné konstrukce</t>
  </si>
  <si>
    <t>96</t>
  </si>
  <si>
    <t>Bourání konstrukcí</t>
  </si>
  <si>
    <t>97</t>
  </si>
  <si>
    <t>Prorážení otvorů</t>
  </si>
  <si>
    <t>723</t>
  </si>
  <si>
    <t>Vnitřní plynovod</t>
  </si>
  <si>
    <t>783</t>
  </si>
  <si>
    <t>Nátěry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</si>
  <si>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</si>
  <si>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</si>
  <si>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</si>
  <si>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</si>
  <si>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</si>
  <si>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</si>
  <si>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</si>
  <si>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</si>
  <si>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</si>
  <si>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</si>
  <si>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</si>
  <si>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</si>
  <si>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</si>
  <si>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</si>
  <si>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</si>
  <si>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</si>
  <si>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</si>
  <si>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</si>
  <si>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</si>
  <si>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</si>
  <si>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</si>
  <si>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</si>
  <si>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</si>
  <si>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</si>
  <si>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</si>
  <si>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</si>
  <si>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</si>
  <si>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</si>
  <si>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</si>
  <si>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</si>
  <si>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</si>
  <si>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411387531R00</t>
  </si>
  <si>
    <t>Zabetonování otvorů 0,0225 m2 ve stropech a, klenbách</t>
  </si>
  <si>
    <t>kus</t>
  </si>
  <si>
    <t>POL1_0</t>
  </si>
  <si>
    <t>969011121R00</t>
  </si>
  <si>
    <t>Vybourání plynového potrubí DN do 52 mm ze stropu</t>
  </si>
  <si>
    <t>m</t>
  </si>
  <si>
    <t>974042543R00</t>
  </si>
  <si>
    <t>Vysekání rýh betonová, monolitická dlažba 20x6 cm</t>
  </si>
  <si>
    <t>979011211R00</t>
  </si>
  <si>
    <t>Svislá doprava suti a vybour. hmot za 2.NP nošením</t>
  </si>
  <si>
    <t>t</t>
  </si>
  <si>
    <t>979981104R00</t>
  </si>
  <si>
    <t>Kontejner, suť bez příměsí, odvoz a likvidace, 9 t</t>
  </si>
  <si>
    <t>723120805R00</t>
  </si>
  <si>
    <t>Demontáž potrubí svařovaného závitového DN 25-50</t>
  </si>
  <si>
    <t>723290821R00</t>
  </si>
  <si>
    <t>Přesun vybouraných hmot - plynovody, H do 6 m</t>
  </si>
  <si>
    <t>723190901R00</t>
  </si>
  <si>
    <t>Uzavření nebo otevření plynového potrubí</t>
  </si>
  <si>
    <t>723190251R00</t>
  </si>
  <si>
    <t>Vyvedení a upevnění plynovodních výpustek DN 15</t>
  </si>
  <si>
    <t>723235233R00</t>
  </si>
  <si>
    <t>Kohout kulový,vnitř.-vnější z., DN 15, +60°C, PN 5, přímý, ovl. žlutá páka</t>
  </si>
  <si>
    <t>723235111R00</t>
  </si>
  <si>
    <t>Kohout kulový,vnitřní-vnější z., DN 15,+60°C, PN 5, rohový, ovl. žlutá páka</t>
  </si>
  <si>
    <t>723190907R00</t>
  </si>
  <si>
    <t>Odvzdušnění a napuštění plynového potrubí</t>
  </si>
  <si>
    <t>723190909R00</t>
  </si>
  <si>
    <t>Zkouška tlaková  plynového potrubí</t>
  </si>
  <si>
    <t>998723101R00</t>
  </si>
  <si>
    <t>Přesun hmot pro vnitřní plynovod, výšky do 6 m</t>
  </si>
  <si>
    <t>783424140R00</t>
  </si>
  <si>
    <t>Nátěr syntetický potrubí do DN 50 mm  Z + 2x</t>
  </si>
  <si>
    <t>1</t>
  </si>
  <si>
    <t>Vedlejší rozpočtové náklady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</si>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</sst>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5" x14ac:knownFonts="1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74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6" fillId="3" borderId="5" xfId="0" applyFont="1" applyFill="1" applyBorder="1" applyAlignment="1">
      <alignment horizontal="left" vertical="center" indent="1"/>
    </xf>
    <xf numFmtId="0" fontId="1" fillId="3" borderId="0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indent="1"/>
    </xf>
    <xf numFmtId="0" fontId="6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0" fontId="6" fillId="0" borderId="5" xfId="0" applyFont="1" applyBorder="1" applyAlignment="1">
      <alignment horizontal="left" vertical="center" indent="1"/>
    </xf>
    <xf numFmtId="0" fontId="0" fillId="0" borderId="0" xfId="0" applyBorder="1"/>
    <xf numFmtId="49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49" fontId="1" fillId="0" borderId="10" xfId="0" applyNumberFormat="1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1" fillId="0" borderId="0" xfId="0" applyFont="1" applyBorder="1" applyAlignment="1">
      <alignment horizontal="left" vertical="center"/>
    </xf>
    <xf numFmtId="0" fontId="0" fillId="0" borderId="9" xfId="0" applyBorder="1" applyAlignment="1">
      <alignment horizontal="left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right" vertical="center"/>
      <protection locked="0"/>
    </xf>
    <xf numFmtId="0" fontId="6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49" fontId="0" fillId="0" borderId="13" xfId="0" applyNumberFormat="1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6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 indent="1"/>
    </xf>
    <xf numFmtId="0" fontId="1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5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/>
    </xf>
    <xf numFmtId="3" fontId="2" fillId="3" borderId="6" xfId="0" applyNumberFormat="1" applyFont="1" applyFill="1" applyBorder="1" applyAlignment="1">
      <alignment vertical="center" wrapTex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/>
    <xf numFmtId="3" fontId="2" fillId="0" borderId="29" xfId="0" applyNumberFormat="1" applyFont="1" applyBorder="1" applyAlignment="1">
      <alignment horizontal="right" wrapText="1" shrinkToFit="1"/>
    </xf>
    <xf numFmtId="3" fontId="2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5" borderId="31" xfId="0" applyNumberFormat="1" applyFill="1" applyBorder="1" applyAlignment="1">
      <alignment wrapText="1" shrinkToFit="1"/>
    </xf>
    <xf numFmtId="3" fontId="0" fillId="5" borderId="31" xfId="0" applyNumberFormat="1" applyFill="1" applyBorder="1" applyAlignment="1">
      <alignment shrinkToFit="1"/>
    </xf>
    <xf numFmtId="3" fontId="0" fillId="5" borderId="31" xfId="0" applyNumberFormat="1" applyFill="1" applyBorder="1" applyAlignment="1"/>
    <xf numFmtId="0" fontId="11" fillId="0" borderId="0" xfId="0" applyNumberFormat="1" applyFont="1" applyAlignment="1">
      <alignment wrapText="1"/>
    </xf>
    <xf numFmtId="0" fontId="5" fillId="0" borderId="0" xfId="0" applyFont="1"/>
    <xf numFmtId="0" fontId="12" fillId="0" borderId="25" xfId="0" applyFont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32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34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2" fillId="0" borderId="25" xfId="0" applyFont="1" applyBorder="1"/>
    <xf numFmtId="0" fontId="2" fillId="5" borderId="18" xfId="0" applyFont="1" applyFill="1" applyBorder="1"/>
    <xf numFmtId="0" fontId="2" fillId="5" borderId="10" xfId="0" applyFont="1" applyFill="1" applyBorder="1"/>
    <xf numFmtId="4" fontId="2" fillId="5" borderId="35" xfId="0" applyNumberFormat="1" applyFont="1" applyFill="1" applyBorder="1" applyAlignment="1">
      <alignment horizontal="center"/>
    </xf>
    <xf numFmtId="4" fontId="2" fillId="5" borderId="35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6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6" fillId="0" borderId="37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6" fillId="0" borderId="40" xfId="0" applyFon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3" borderId="43" xfId="0" applyFill="1" applyBorder="1"/>
    <xf numFmtId="49" fontId="0" fillId="3" borderId="44" xfId="0" applyNumberFormat="1" applyFill="1" applyBorder="1" applyAlignment="1"/>
    <xf numFmtId="49" fontId="0" fillId="3" borderId="44" xfId="0" applyNumberFormat="1" applyFill="1" applyBorder="1"/>
    <xf numFmtId="0" fontId="0" fillId="3" borderId="44" xfId="0" applyFill="1" applyBorder="1"/>
    <xf numFmtId="0" fontId="0" fillId="3" borderId="45" xfId="0" applyFill="1" applyBorder="1"/>
    <xf numFmtId="0" fontId="0" fillId="3" borderId="33" xfId="0" applyFill="1" applyBorder="1"/>
    <xf numFmtId="49" fontId="0" fillId="3" borderId="33" xfId="0" applyNumberFormat="1" applyFill="1" applyBorder="1"/>
    <xf numFmtId="0" fontId="0" fillId="3" borderId="32" xfId="0" applyFill="1" applyBorder="1"/>
    <xf numFmtId="0" fontId="0" fillId="3" borderId="46" xfId="0" applyFill="1" applyBorder="1"/>
    <xf numFmtId="0" fontId="0" fillId="3" borderId="47" xfId="0" applyFill="1" applyBorder="1" applyAlignment="1">
      <alignment wrapText="1"/>
    </xf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50" xfId="0" applyNumberFormat="1" applyFill="1" applyBorder="1" applyAlignment="1">
      <alignment vertical="top"/>
    </xf>
    <xf numFmtId="4" fontId="0" fillId="3" borderId="50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0" fontId="13" fillId="0" borderId="25" xfId="0" applyFont="1" applyBorder="1" applyAlignment="1">
      <alignment vertical="top"/>
    </xf>
    <xf numFmtId="0" fontId="13" fillId="0" borderId="25" xfId="0" applyNumberFormat="1" applyFont="1" applyBorder="1" applyAlignment="1">
      <alignment vertical="top"/>
    </xf>
    <xf numFmtId="0" fontId="13" fillId="0" borderId="34" xfId="0" applyNumberFormat="1" applyFont="1" applyBorder="1" applyAlignment="1">
      <alignment horizontal="left" vertical="top" wrapText="1"/>
    </xf>
    <xf numFmtId="0" fontId="13" fillId="0" borderId="52" xfId="0" applyFont="1" applyBorder="1" applyAlignment="1">
      <alignment vertical="top" shrinkToFit="1"/>
    </xf>
    <xf numFmtId="164" fontId="13" fillId="0" borderId="34" xfId="0" applyNumberFormat="1" applyFont="1" applyBorder="1" applyAlignment="1">
      <alignment vertical="top" shrinkToFit="1"/>
    </xf>
    <xf numFmtId="4" fontId="13" fillId="4" borderId="34" xfId="0" applyNumberFormat="1" applyFont="1" applyFill="1" applyBorder="1" applyAlignment="1" applyProtection="1">
      <alignment vertical="top" shrinkToFit="1"/>
      <protection locked="0"/>
    </xf>
    <xf numFmtId="4" fontId="13" fillId="0" borderId="34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 shrinkToFit="1"/>
    </xf>
    <xf numFmtId="0" fontId="13" fillId="0" borderId="25" xfId="0" applyFont="1" applyBorder="1" applyAlignment="1">
      <alignment vertical="top" shrinkToFit="1"/>
    </xf>
    <xf numFmtId="0" fontId="13" fillId="0" borderId="0" xfId="0" applyFont="1"/>
    <xf numFmtId="0" fontId="0" fillId="3" borderId="18" xfId="0" applyFill="1" applyBorder="1" applyAlignment="1">
      <alignment vertical="top"/>
    </xf>
    <xf numFmtId="0" fontId="0" fillId="3" borderId="18" xfId="0" applyNumberFormat="1" applyFill="1" applyBorder="1" applyAlignment="1">
      <alignment vertical="top"/>
    </xf>
    <xf numFmtId="0" fontId="0" fillId="3" borderId="35" xfId="0" applyNumberFormat="1" applyFill="1" applyBorder="1" applyAlignment="1">
      <alignment horizontal="left" vertical="top" wrapText="1"/>
    </xf>
    <xf numFmtId="0" fontId="0" fillId="3" borderId="53" xfId="0" applyFill="1" applyBorder="1" applyAlignment="1">
      <alignment vertical="top" shrinkToFit="1"/>
    </xf>
    <xf numFmtId="164" fontId="0" fillId="3" borderId="35" xfId="0" applyNumberFormat="1" applyFill="1" applyBorder="1" applyAlignment="1">
      <alignment vertical="top" shrinkToFit="1"/>
    </xf>
    <xf numFmtId="4" fontId="0" fillId="3" borderId="35" xfId="0" applyNumberFormat="1" applyFill="1" applyBorder="1" applyAlignment="1">
      <alignment vertical="top" shrinkToFit="1"/>
    </xf>
    <xf numFmtId="0" fontId="0" fillId="3" borderId="35" xfId="0" applyFill="1" applyBorder="1" applyAlignment="1">
      <alignment vertical="top" shrinkToFit="1"/>
    </xf>
    <xf numFmtId="0" fontId="0" fillId="3" borderId="18" xfId="0" applyFill="1" applyBorder="1" applyAlignment="1">
      <alignment vertical="top" shrinkToFit="1"/>
    </xf>
    <xf numFmtId="0" fontId="13" fillId="0" borderId="18" xfId="0" applyFont="1" applyBorder="1" applyAlignment="1">
      <alignment vertical="top"/>
    </xf>
    <xf numFmtId="0" fontId="13" fillId="0" borderId="18" xfId="0" applyNumberFormat="1" applyFont="1" applyBorder="1" applyAlignment="1">
      <alignment vertical="top"/>
    </xf>
    <xf numFmtId="0" fontId="13" fillId="0" borderId="35" xfId="0" applyNumberFormat="1" applyFont="1" applyBorder="1" applyAlignment="1">
      <alignment horizontal="left" vertical="top" wrapText="1"/>
    </xf>
    <xf numFmtId="0" fontId="13" fillId="0" borderId="53" xfId="0" applyFont="1" applyBorder="1" applyAlignment="1">
      <alignment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18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" fillId="3" borderId="15" xfId="0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vertical="top"/>
    </xf>
    <xf numFmtId="49" fontId="1" fillId="3" borderId="14" xfId="0" applyNumberFormat="1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vertical="top"/>
    </xf>
    <xf numFmtId="4" fontId="1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49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horizontal="right" vertical="center" indent="1"/>
    </xf>
    <xf numFmtId="4" fontId="8" fillId="0" borderId="17" xfId="0" applyNumberFormat="1" applyFont="1" applyBorder="1" applyAlignment="1">
      <alignment horizontal="right" vertical="center" indent="1"/>
    </xf>
    <xf numFmtId="4" fontId="2" fillId="0" borderId="35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" fontId="2" fillId="5" borderId="35" xfId="0" applyNumberFormat="1" applyFont="1" applyFill="1" applyBorder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 shrinkToFit="1"/>
    </xf>
    <xf numFmtId="49" fontId="1" fillId="4" borderId="6" xfId="0" applyNumberFormat="1" applyFont="1" applyFill="1" applyBorder="1" applyAlignment="1" applyProtection="1">
      <alignment horizontal="left" vertical="center"/>
      <protection locked="0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49" fontId="1" fillId="4" borderId="10" xfId="0" applyNumberFormat="1" applyFont="1" applyFill="1" applyBorder="1" applyAlignment="1" applyProtection="1">
      <alignment horizontal="left" vertical="center"/>
      <protection locked="0"/>
    </xf>
    <xf numFmtId="1" fontId="6" fillId="0" borderId="10" xfId="0" applyNumberFormat="1" applyFont="1" applyBorder="1" applyAlignment="1">
      <alignment horizontal="right" indent="1"/>
    </xf>
    <xf numFmtId="0" fontId="6" fillId="0" borderId="10" xfId="0" applyFont="1" applyBorder="1" applyAlignment="1">
      <alignment horizontal="right" indent="1"/>
    </xf>
    <xf numFmtId="0" fontId="6" fillId="0" borderId="11" xfId="0" applyFont="1" applyBorder="1" applyAlignment="1">
      <alignment horizontal="right" indent="1"/>
    </xf>
    <xf numFmtId="49" fontId="2" fillId="0" borderId="25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" fontId="2" fillId="0" borderId="34" xfId="0" applyNumberFormat="1" applyFont="1" applyBorder="1" applyAlignment="1">
      <alignment vertical="center"/>
    </xf>
    <xf numFmtId="0" fontId="0" fillId="0" borderId="0" xfId="0" applyNumberFormat="1" applyAlignment="1">
      <alignment wrapText="1"/>
    </xf>
    <xf numFmtId="0" fontId="12" fillId="3" borderId="3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/>
    </xf>
    <xf numFmtId="2" fontId="9" fillId="3" borderId="20" xfId="0" applyNumberFormat="1" applyFont="1" applyFill="1" applyBorder="1" applyAlignment="1">
      <alignment horizontal="right" vertical="center"/>
    </xf>
    <xf numFmtId="4" fontId="9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/>
    <xf numFmtId="3" fontId="0" fillId="0" borderId="14" xfId="0" applyNumberFormat="1" applyBorder="1" applyAlignment="1">
      <alignment wrapText="1"/>
    </xf>
    <xf numFmtId="3" fontId="0" fillId="5" borderId="28" xfId="0" applyNumberFormat="1" applyFill="1" applyBorder="1"/>
    <xf numFmtId="3" fontId="0" fillId="5" borderId="14" xfId="0" applyNumberFormat="1" applyFill="1" applyBorder="1"/>
    <xf numFmtId="3" fontId="0" fillId="5" borderId="30" xfId="0" applyNumberFormat="1" applyFill="1" applyBorder="1"/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54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5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53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5" x14ac:dyDescent="0.3"/>
  <sheetData>
    <row r="1" spans="1:7" ht="14.25" x14ac:dyDescent="0.3">
      <c r="A1" s="1" t="s">
        <v>0</v>
      </c>
    </row>
    <row r="2" spans="1:7" ht="57.75" customHeight="1" x14ac:dyDescent="0.3">
      <c r="A2" s="200" t="s">
        <v>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5" zoomScaleNormal="100" zoomScaleSheetLayoutView="75" workbookViewId="0">
      <selection activeCell="G26" sqref="G26:I26"/>
    </sheetView>
  </sheetViews>
  <sheetFormatPr defaultColWidth="9.1640625" defaultRowHeight="13.5" x14ac:dyDescent="0.3"/>
  <cols>
    <col min="1" max="1" width="8.5" hidden="1" customWidth="1"/>
    <col min="2" max="2" width="9.33203125" customWidth="1"/>
    <col min="3" max="3" width="7.5" customWidth="1"/>
    <col min="4" max="4" width="13.5" customWidth="1"/>
    <col min="5" max="5" width="12.33203125" customWidth="1"/>
    <col min="6" max="6" width="11.5" customWidth="1"/>
    <col min="7" max="7" width="12.83203125" style="2" customWidth="1"/>
    <col min="8" max="8" width="12.83203125" customWidth="1"/>
    <col min="9" max="9" width="12.83203125" style="2" customWidth="1"/>
    <col min="10" max="10" width="6.83203125" style="2" customWidth="1"/>
    <col min="11" max="11" width="4.33203125" customWidth="1"/>
    <col min="12" max="15" width="10.83203125" customWidth="1"/>
    <col min="52" max="52" width="93.33203125" customWidth="1"/>
  </cols>
  <sheetData>
    <row r="1" spans="1:15" ht="33.75" customHeight="1" x14ac:dyDescent="0.3">
      <c r="A1" s="3" t="s">
        <v>2</v>
      </c>
      <c r="B1" s="214" t="s">
        <v>3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3">
      <c r="A2" s="4"/>
      <c r="B2" s="5" t="s">
        <v>4</v>
      </c>
      <c r="C2" s="6"/>
      <c r="D2" s="217" t="s">
        <v>5</v>
      </c>
      <c r="E2" s="218"/>
      <c r="F2" s="218"/>
      <c r="G2" s="218"/>
      <c r="H2" s="218"/>
      <c r="I2" s="218"/>
      <c r="J2" s="219"/>
      <c r="O2" s="7"/>
    </row>
    <row r="3" spans="1:15" ht="23.25" customHeight="1" x14ac:dyDescent="0.3">
      <c r="A3" s="4"/>
      <c r="B3" s="8" t="s">
        <v>6</v>
      </c>
      <c r="C3" s="9"/>
      <c r="D3" s="201" t="s">
        <v>7</v>
      </c>
      <c r="E3" s="202"/>
      <c r="F3" s="202"/>
      <c r="G3" s="202"/>
      <c r="H3" s="202"/>
      <c r="I3" s="202"/>
      <c r="J3" s="203"/>
    </row>
    <row r="4" spans="1:15" ht="23.25" hidden="1" customHeight="1" x14ac:dyDescent="0.3">
      <c r="A4" s="4"/>
      <c r="B4" s="10" t="s">
        <v>8</v>
      </c>
      <c r="C4" s="11"/>
      <c r="D4" s="12"/>
      <c r="E4" s="12"/>
      <c r="F4" s="13"/>
      <c r="G4" s="14"/>
      <c r="H4" s="13"/>
      <c r="I4" s="14"/>
      <c r="J4" s="15"/>
    </row>
    <row r="5" spans="1:15" ht="24" customHeight="1" x14ac:dyDescent="0.3">
      <c r="A5" s="4"/>
      <c r="B5" s="16" t="s">
        <v>9</v>
      </c>
      <c r="C5" s="17"/>
      <c r="D5" s="18" t="s">
        <v>10</v>
      </c>
      <c r="E5" s="19"/>
      <c r="F5" s="19"/>
      <c r="G5" s="19"/>
      <c r="H5" s="20" t="s">
        <v>11</v>
      </c>
      <c r="I5" s="18" t="s">
        <v>12</v>
      </c>
      <c r="J5" s="21"/>
    </row>
    <row r="6" spans="1:15" ht="15.75" customHeight="1" x14ac:dyDescent="0.3">
      <c r="A6" s="4"/>
      <c r="B6" s="22"/>
      <c r="C6" s="19"/>
      <c r="D6" s="18" t="s">
        <v>13</v>
      </c>
      <c r="E6" s="19"/>
      <c r="F6" s="19"/>
      <c r="G6" s="19"/>
      <c r="H6" s="20" t="s">
        <v>14</v>
      </c>
      <c r="I6" s="18" t="s">
        <v>15</v>
      </c>
      <c r="J6" s="21"/>
    </row>
    <row r="7" spans="1:15" ht="15.75" customHeight="1" x14ac:dyDescent="0.3">
      <c r="A7" s="4"/>
      <c r="B7" s="23"/>
      <c r="C7" s="24" t="s">
        <v>16</v>
      </c>
      <c r="D7" s="25" t="s">
        <v>17</v>
      </c>
      <c r="E7" s="26"/>
      <c r="F7" s="26"/>
      <c r="G7" s="26"/>
      <c r="H7" s="27"/>
      <c r="I7" s="26"/>
      <c r="J7" s="28"/>
    </row>
    <row r="8" spans="1:15" ht="24" hidden="1" customHeight="1" x14ac:dyDescent="0.3">
      <c r="A8" s="4"/>
      <c r="B8" s="16" t="s">
        <v>18</v>
      </c>
      <c r="C8" s="17"/>
      <c r="D8" s="29"/>
      <c r="E8" s="17"/>
      <c r="F8" s="17"/>
      <c r="G8" s="30"/>
      <c r="H8" s="20" t="s">
        <v>11</v>
      </c>
      <c r="I8" s="31"/>
      <c r="J8" s="21"/>
    </row>
    <row r="9" spans="1:15" ht="15.75" hidden="1" customHeight="1" x14ac:dyDescent="0.3">
      <c r="A9" s="4"/>
      <c r="B9" s="4"/>
      <c r="C9" s="17"/>
      <c r="D9" s="29"/>
      <c r="E9" s="17"/>
      <c r="F9" s="17"/>
      <c r="G9" s="30"/>
      <c r="H9" s="20" t="s">
        <v>14</v>
      </c>
      <c r="I9" s="31"/>
      <c r="J9" s="21"/>
    </row>
    <row r="10" spans="1:15" ht="15.75" hidden="1" customHeight="1" x14ac:dyDescent="0.3">
      <c r="A10" s="4"/>
      <c r="B10" s="32"/>
      <c r="C10" s="33"/>
      <c r="D10" s="34"/>
      <c r="E10" s="35"/>
      <c r="F10" s="35"/>
      <c r="G10" s="36"/>
      <c r="H10" s="36"/>
      <c r="I10" s="37"/>
      <c r="J10" s="28"/>
    </row>
    <row r="11" spans="1:15" ht="24" customHeight="1" x14ac:dyDescent="0.3">
      <c r="A11" s="4"/>
      <c r="B11" s="16" t="s">
        <v>19</v>
      </c>
      <c r="C11" s="17"/>
      <c r="D11" s="220" t="s">
        <v>20</v>
      </c>
      <c r="E11" s="220"/>
      <c r="F11" s="220"/>
      <c r="G11" s="220"/>
      <c r="H11" s="20" t="s">
        <v>11</v>
      </c>
      <c r="I11" s="38" t="s">
        <v>21</v>
      </c>
      <c r="J11" s="21"/>
    </row>
    <row r="12" spans="1:15" ht="15.75" customHeight="1" x14ac:dyDescent="0.3">
      <c r="A12" s="4"/>
      <c r="B12" s="22"/>
      <c r="C12" s="19"/>
      <c r="D12" s="221" t="s">
        <v>22</v>
      </c>
      <c r="E12" s="221"/>
      <c r="F12" s="221"/>
      <c r="G12" s="221"/>
      <c r="H12" s="20" t="s">
        <v>14</v>
      </c>
      <c r="I12" s="38" t="s">
        <v>23</v>
      </c>
      <c r="J12" s="21"/>
    </row>
    <row r="13" spans="1:15" ht="15.75" customHeight="1" x14ac:dyDescent="0.3">
      <c r="A13" s="4"/>
      <c r="B13" s="23"/>
      <c r="C13" s="39" t="s">
        <v>24</v>
      </c>
      <c r="D13" s="222" t="s">
        <v>25</v>
      </c>
      <c r="E13" s="222"/>
      <c r="F13" s="222"/>
      <c r="G13" s="222"/>
      <c r="H13" s="40"/>
      <c r="I13" s="26"/>
      <c r="J13" s="28"/>
    </row>
    <row r="14" spans="1:15" ht="24" hidden="1" customHeight="1" x14ac:dyDescent="0.3">
      <c r="A14" s="4"/>
      <c r="B14" s="41" t="s">
        <v>26</v>
      </c>
      <c r="C14" s="42"/>
      <c r="D14" s="43" t="s">
        <v>27</v>
      </c>
      <c r="E14" s="44"/>
      <c r="F14" s="44"/>
      <c r="G14" s="44"/>
      <c r="H14" s="45"/>
      <c r="I14" s="44"/>
      <c r="J14" s="46"/>
    </row>
    <row r="15" spans="1:15" ht="32.25" customHeight="1" x14ac:dyDescent="0.3">
      <c r="A15" s="4"/>
      <c r="B15" s="32" t="s">
        <v>28</v>
      </c>
      <c r="C15" s="47"/>
      <c r="D15" s="36"/>
      <c r="E15" s="223" t="s">
        <v>29</v>
      </c>
      <c r="F15" s="223"/>
      <c r="G15" s="224" t="s">
        <v>30</v>
      </c>
      <c r="H15" s="224"/>
      <c r="I15" s="224" t="s">
        <v>31</v>
      </c>
      <c r="J15" s="225"/>
    </row>
    <row r="16" spans="1:15" ht="23.25" customHeight="1" x14ac:dyDescent="0.3">
      <c r="A16" s="48" t="s">
        <v>32</v>
      </c>
      <c r="B16" s="49" t="s">
        <v>32</v>
      </c>
      <c r="C16" s="50"/>
      <c r="D16" s="51"/>
      <c r="E16" s="204">
        <f>SUMIF(F49:F54,A16,G49:G54)+SUMIF(F49:F54,"PSU",G49:G54)</f>
        <v>2172.96</v>
      </c>
      <c r="F16" s="205"/>
      <c r="G16" s="204">
        <f>SUMIF(F49:F54,A16,H49:H54)+SUMIF(F49:F54,"PSU",H49:H54)</f>
        <v>5756.89</v>
      </c>
      <c r="H16" s="205"/>
      <c r="I16" s="204">
        <f>SUMIF(F49:F54,A16,I49:I54)+SUMIF(F49:F54,"PSU",I49:I54)</f>
        <v>0</v>
      </c>
      <c r="J16" s="206"/>
    </row>
    <row r="17" spans="1:10" ht="23.25" customHeight="1" x14ac:dyDescent="0.3">
      <c r="A17" s="48" t="s">
        <v>33</v>
      </c>
      <c r="B17" s="49" t="s">
        <v>33</v>
      </c>
      <c r="C17" s="50"/>
      <c r="D17" s="51"/>
      <c r="E17" s="204">
        <f>SUMIF(F49:F54,A17,G49:G54)</f>
        <v>3655</v>
      </c>
      <c r="F17" s="205"/>
      <c r="G17" s="204">
        <f>SUMIF(F49:F54,A17,H49:H54)</f>
        <v>16426.22</v>
      </c>
      <c r="H17" s="205"/>
      <c r="I17" s="204">
        <f>SUMIF(F49:F54,A17,I49:I54)</f>
        <v>0</v>
      </c>
      <c r="J17" s="206"/>
    </row>
    <row r="18" spans="1:10" ht="23.25" customHeight="1" x14ac:dyDescent="0.3">
      <c r="A18" s="48" t="s">
        <v>34</v>
      </c>
      <c r="B18" s="49" t="s">
        <v>34</v>
      </c>
      <c r="C18" s="50"/>
      <c r="D18" s="51"/>
      <c r="E18" s="204">
        <f>SUMIF(F49:F54,A18,G49:G54)</f>
        <v>0</v>
      </c>
      <c r="F18" s="205"/>
      <c r="G18" s="204">
        <f>SUMIF(F49:F54,A18,H49:H54)</f>
        <v>0</v>
      </c>
      <c r="H18" s="205"/>
      <c r="I18" s="204">
        <f>SUMIF(F49:F54,A18,I49:I54)</f>
        <v>0</v>
      </c>
      <c r="J18" s="206"/>
    </row>
    <row r="19" spans="1:10" ht="23.25" customHeight="1" x14ac:dyDescent="0.3">
      <c r="A19" s="48" t="s">
        <v>35</v>
      </c>
      <c r="B19" s="49" t="s">
        <v>36</v>
      </c>
      <c r="C19" s="50"/>
      <c r="D19" s="51"/>
      <c r="E19" s="204">
        <f>SUMIF(F49:F54,A19,G49:G54)</f>
        <v>0</v>
      </c>
      <c r="F19" s="205"/>
      <c r="G19" s="204">
        <f>SUMIF(F49:F54,A19,H49:H54)</f>
        <v>1706.4</v>
      </c>
      <c r="H19" s="205"/>
      <c r="I19" s="204">
        <f>SUMIF(F49:F54,A19,I49:I54)</f>
        <v>0</v>
      </c>
      <c r="J19" s="206"/>
    </row>
    <row r="20" spans="1:10" ht="23.25" customHeight="1" x14ac:dyDescent="0.3">
      <c r="A20" s="48" t="s">
        <v>37</v>
      </c>
      <c r="B20" s="49" t="s">
        <v>38</v>
      </c>
      <c r="C20" s="50"/>
      <c r="D20" s="51"/>
      <c r="E20" s="204">
        <f>SUMIF(F49:F54,A20,G49:G54)</f>
        <v>0</v>
      </c>
      <c r="F20" s="205"/>
      <c r="G20" s="204">
        <f>SUMIF(F49:F54,A20,H49:H54)</f>
        <v>0</v>
      </c>
      <c r="H20" s="205"/>
      <c r="I20" s="204">
        <f>SUMIF(F49:F54,A20,I49:I54)</f>
        <v>0</v>
      </c>
      <c r="J20" s="206"/>
    </row>
    <row r="21" spans="1:10" ht="23.25" customHeight="1" x14ac:dyDescent="0.3">
      <c r="A21" s="4"/>
      <c r="B21" s="52" t="s">
        <v>31</v>
      </c>
      <c r="C21" s="53"/>
      <c r="D21" s="54"/>
      <c r="E21" s="207">
        <f>SUM(E16:F20)</f>
        <v>5827.96</v>
      </c>
      <c r="F21" s="208"/>
      <c r="G21" s="207">
        <f>SUM(G16:H20)</f>
        <v>23889.510000000002</v>
      </c>
      <c r="H21" s="208"/>
      <c r="I21" s="207">
        <f>SUM(I16:J20)</f>
        <v>0</v>
      </c>
      <c r="J21" s="209"/>
    </row>
    <row r="22" spans="1:10" ht="33" customHeight="1" x14ac:dyDescent="0.3">
      <c r="A22" s="4"/>
      <c r="B22" s="55" t="s">
        <v>39</v>
      </c>
      <c r="C22" s="50"/>
      <c r="D22" s="51"/>
      <c r="E22" s="56"/>
      <c r="F22" s="57"/>
      <c r="G22" s="58"/>
      <c r="H22" s="58"/>
      <c r="I22" s="58"/>
      <c r="J22" s="59"/>
    </row>
    <row r="23" spans="1:10" ht="23.25" customHeight="1" x14ac:dyDescent="0.3">
      <c r="A23" s="4"/>
      <c r="B23" s="60" t="s">
        <v>40</v>
      </c>
      <c r="C23" s="50"/>
      <c r="D23" s="51"/>
      <c r="E23" s="61">
        <v>15</v>
      </c>
      <c r="F23" s="57" t="s">
        <v>41</v>
      </c>
      <c r="G23" s="242">
        <f>ZakladDPHSniVypocet</f>
        <v>0</v>
      </c>
      <c r="H23" s="243"/>
      <c r="I23" s="243"/>
      <c r="J23" s="59" t="str">
        <f t="shared" ref="J23:J28" si="0">Mena</f>
        <v>CZK</v>
      </c>
    </row>
    <row r="24" spans="1:10" ht="23.25" customHeight="1" x14ac:dyDescent="0.3">
      <c r="A24" s="4"/>
      <c r="B24" s="60" t="s">
        <v>42</v>
      </c>
      <c r="C24" s="50"/>
      <c r="D24" s="51"/>
      <c r="E24" s="61">
        <f>SazbaDPH1</f>
        <v>15</v>
      </c>
      <c r="F24" s="57" t="s">
        <v>41</v>
      </c>
      <c r="G24" s="244">
        <f>ZakladDPHSni*SazbaDPH1/100</f>
        <v>0</v>
      </c>
      <c r="H24" s="245"/>
      <c r="I24" s="245"/>
      <c r="J24" s="59" t="str">
        <f t="shared" si="0"/>
        <v>CZK</v>
      </c>
    </row>
    <row r="25" spans="1:10" ht="23.25" customHeight="1" x14ac:dyDescent="0.3">
      <c r="A25" s="4"/>
      <c r="B25" s="60" t="s">
        <v>43</v>
      </c>
      <c r="C25" s="50"/>
      <c r="D25" s="51"/>
      <c r="E25" s="61">
        <v>21</v>
      </c>
      <c r="F25" s="57" t="s">
        <v>41</v>
      </c>
      <c r="G25" s="242">
        <v>29716.880000000001</v>
      </c>
      <c r="H25" s="243"/>
      <c r="I25" s="243"/>
      <c r="J25" s="59" t="str">
        <f t="shared" si="0"/>
        <v>CZK</v>
      </c>
    </row>
    <row r="26" spans="1:10" ht="23.25" customHeight="1" x14ac:dyDescent="0.3">
      <c r="A26" s="4"/>
      <c r="B26" s="62" t="s">
        <v>44</v>
      </c>
      <c r="C26" s="63"/>
      <c r="D26" s="64"/>
      <c r="E26" s="65">
        <f>SazbaDPH2</f>
        <v>21</v>
      </c>
      <c r="F26" s="66" t="s">
        <v>41</v>
      </c>
      <c r="G26" s="246">
        <f>ZakladDPHZakl*SazbaDPH2/100</f>
        <v>6240.5447999999997</v>
      </c>
      <c r="H26" s="247"/>
      <c r="I26" s="247"/>
      <c r="J26" s="67" t="str">
        <f t="shared" si="0"/>
        <v>CZK</v>
      </c>
    </row>
    <row r="27" spans="1:10" ht="23.25" customHeight="1" thickBot="1" x14ac:dyDescent="0.35">
      <c r="A27" s="4"/>
      <c r="B27" s="68" t="s">
        <v>45</v>
      </c>
      <c r="C27" s="69"/>
      <c r="D27" s="70"/>
      <c r="E27" s="69"/>
      <c r="F27" s="71"/>
      <c r="G27" s="248">
        <f>0</f>
        <v>0</v>
      </c>
      <c r="H27" s="248"/>
      <c r="I27" s="248"/>
      <c r="J27" s="72" t="str">
        <f t="shared" si="0"/>
        <v>CZK</v>
      </c>
    </row>
    <row r="28" spans="1:10" ht="27.75" hidden="1" customHeight="1" thickBot="1" x14ac:dyDescent="0.35">
      <c r="A28" s="4"/>
      <c r="B28" s="73" t="s">
        <v>46</v>
      </c>
      <c r="C28" s="74"/>
      <c r="D28" s="74"/>
      <c r="E28" s="75"/>
      <c r="F28" s="76"/>
      <c r="G28" s="234">
        <f>ZakladDPHSniVypocet+ZakladDPHZaklVypocet</f>
        <v>0</v>
      </c>
      <c r="H28" s="234"/>
      <c r="I28" s="234"/>
      <c r="J28" s="77" t="str">
        <f t="shared" si="0"/>
        <v>CZK</v>
      </c>
    </row>
    <row r="29" spans="1:10" ht="27.75" customHeight="1" thickBot="1" x14ac:dyDescent="0.35">
      <c r="A29" s="4"/>
      <c r="B29" s="73" t="s">
        <v>47</v>
      </c>
      <c r="C29" s="78"/>
      <c r="D29" s="78"/>
      <c r="E29" s="78"/>
      <c r="F29" s="78"/>
      <c r="G29" s="235">
        <f>ZakladDPHSni+DPHSni+ZakladDPHZakl+DPHZakl+Zaokrouhleni</f>
        <v>35957.424800000001</v>
      </c>
      <c r="H29" s="235"/>
      <c r="I29" s="235"/>
      <c r="J29" s="79" t="s">
        <v>48</v>
      </c>
    </row>
    <row r="30" spans="1:10" ht="12.75" customHeight="1" x14ac:dyDescent="0.3">
      <c r="A30" s="4"/>
      <c r="B30" s="4"/>
      <c r="C30" s="17"/>
      <c r="D30" s="17"/>
      <c r="E30" s="17"/>
      <c r="F30" s="17"/>
      <c r="G30" s="30"/>
      <c r="H30" s="17"/>
      <c r="I30" s="30"/>
      <c r="J30" s="80"/>
    </row>
    <row r="31" spans="1:10" ht="30" customHeight="1" x14ac:dyDescent="0.3">
      <c r="A31" s="4"/>
      <c r="B31" s="4"/>
      <c r="C31" s="17"/>
      <c r="D31" s="17"/>
      <c r="E31" s="17"/>
      <c r="F31" s="17"/>
      <c r="G31" s="30"/>
      <c r="H31" s="17"/>
      <c r="I31" s="30"/>
      <c r="J31" s="80"/>
    </row>
    <row r="32" spans="1:10" ht="18.75" customHeight="1" x14ac:dyDescent="0.3">
      <c r="A32" s="4"/>
      <c r="B32" s="81"/>
      <c r="C32" s="82" t="s">
        <v>49</v>
      </c>
      <c r="D32" s="83" t="s">
        <v>50</v>
      </c>
      <c r="E32" s="83"/>
      <c r="F32" s="82" t="s">
        <v>51</v>
      </c>
      <c r="G32" s="83"/>
      <c r="H32" s="84">
        <f ca="1">TODAY()</f>
        <v>44287</v>
      </c>
      <c r="I32" s="83"/>
      <c r="J32" s="80"/>
    </row>
    <row r="33" spans="1:52" ht="47.25" customHeight="1" x14ac:dyDescent="0.3">
      <c r="A33" s="4"/>
      <c r="B33" s="4"/>
      <c r="C33" s="17"/>
      <c r="D33" s="17"/>
      <c r="E33" s="17"/>
      <c r="F33" s="17"/>
      <c r="G33" s="30"/>
      <c r="H33" s="17"/>
      <c r="I33" s="30"/>
      <c r="J33" s="80"/>
    </row>
    <row r="34" spans="1:52" s="1" customFormat="1" ht="18.75" customHeight="1" x14ac:dyDescent="0.2">
      <c r="A34" s="85"/>
      <c r="B34" s="85"/>
      <c r="C34" s="86"/>
      <c r="D34" s="87"/>
      <c r="E34" s="87"/>
      <c r="F34" s="86"/>
      <c r="G34" s="88"/>
      <c r="H34" s="87"/>
      <c r="I34" s="88"/>
      <c r="J34" s="89"/>
    </row>
    <row r="35" spans="1:52" ht="12.75" customHeight="1" x14ac:dyDescent="0.3">
      <c r="A35" s="4"/>
      <c r="B35" s="4"/>
      <c r="C35" s="17"/>
      <c r="D35" s="236" t="s">
        <v>52</v>
      </c>
      <c r="E35" s="236"/>
      <c r="F35" s="17"/>
      <c r="G35" s="30"/>
      <c r="H35" s="90" t="s">
        <v>53</v>
      </c>
      <c r="I35" s="30"/>
      <c r="J35" s="80"/>
    </row>
    <row r="36" spans="1:52" ht="13.5" customHeight="1" thickBot="1" x14ac:dyDescent="0.35">
      <c r="A36" s="91"/>
      <c r="B36" s="91"/>
      <c r="C36" s="92"/>
      <c r="D36" s="92"/>
      <c r="E36" s="92"/>
      <c r="F36" s="92"/>
      <c r="G36" s="93"/>
      <c r="H36" s="92"/>
      <c r="I36" s="93"/>
      <c r="J36" s="94"/>
    </row>
    <row r="37" spans="1:52" ht="27" hidden="1" customHeight="1" x14ac:dyDescent="0.3">
      <c r="B37" s="95" t="s">
        <v>54</v>
      </c>
      <c r="C37" s="96"/>
      <c r="D37" s="96"/>
      <c r="E37" s="96"/>
      <c r="F37" s="97"/>
      <c r="G37" s="97"/>
      <c r="H37" s="97"/>
      <c r="I37" s="97"/>
      <c r="J37" s="96"/>
    </row>
    <row r="38" spans="1:52" ht="25.5" hidden="1" customHeight="1" x14ac:dyDescent="0.3">
      <c r="A38" s="98" t="s">
        <v>55</v>
      </c>
      <c r="B38" s="99" t="s">
        <v>56</v>
      </c>
      <c r="C38" s="100" t="s">
        <v>57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58</v>
      </c>
      <c r="I38" s="103" t="s">
        <v>59</v>
      </c>
      <c r="J38" s="104" t="s">
        <v>41</v>
      </c>
    </row>
    <row r="39" spans="1:52" ht="25.5" hidden="1" customHeight="1" x14ac:dyDescent="0.3">
      <c r="A39" s="98">
        <v>0</v>
      </c>
      <c r="B39" s="105" t="s">
        <v>60</v>
      </c>
      <c r="C39" s="237" t="s">
        <v>5</v>
      </c>
      <c r="D39" s="238"/>
      <c r="E39" s="238"/>
      <c r="F39" s="106">
        <f>'Rozpočet Pol'!AC31</f>
        <v>0</v>
      </c>
      <c r="G39" s="107">
        <f>'Rozpočet Pol'!AD31</f>
        <v>29716.880000000005</v>
      </c>
      <c r="H39" s="108">
        <f>(F39*SazbaDPH1/100)+(G39*SazbaDPH2/100)</f>
        <v>6240.5448000000006</v>
      </c>
      <c r="I39" s="108">
        <f>F39+G39+H39</f>
        <v>35957.424800000008</v>
      </c>
      <c r="J39" s="109" t="str">
        <f>IF(CenaCelkemVypocet=0,"",I39/CenaCelkemVypocet*100)</f>
        <v/>
      </c>
    </row>
    <row r="40" spans="1:52" ht="25.5" hidden="1" customHeight="1" x14ac:dyDescent="0.3">
      <c r="A40" s="98"/>
      <c r="B40" s="239" t="s">
        <v>61</v>
      </c>
      <c r="C40" s="240"/>
      <c r="D40" s="240"/>
      <c r="E40" s="241"/>
      <c r="F40" s="110">
        <f>SUMIF(A39,"=1",F39)</f>
        <v>0</v>
      </c>
      <c r="G40" s="111">
        <f>SUMIF(A39,"=1",G39)</f>
        <v>0</v>
      </c>
      <c r="H40" s="111">
        <f>SUMIF(A39,"=1",H39)</f>
        <v>0</v>
      </c>
      <c r="I40" s="111">
        <f>SUMIF(A39,"=1",I39)</f>
        <v>0</v>
      </c>
      <c r="J40" s="112">
        <f>SUMIF(A39,"=1",J39)</f>
        <v>0</v>
      </c>
    </row>
    <row r="42" spans="1:52" x14ac:dyDescent="0.3">
      <c r="B42" t="s">
        <v>62</v>
      </c>
    </row>
    <row r="43" spans="1:52" ht="14.25" x14ac:dyDescent="0.3">
      <c r="B43" s="229" t="s">
        <v>63</v>
      </c>
      <c r="C43" s="229"/>
      <c r="D43" s="229"/>
      <c r="E43" s="229"/>
      <c r="F43" s="229"/>
      <c r="G43" s="229"/>
      <c r="H43" s="229"/>
      <c r="I43" s="229"/>
      <c r="J43" s="229"/>
      <c r="AZ43" s="113" t="str">
        <f>B43</f>
        <v>D1.4.2 Plynová odběrná zařízení, II. etapa</v>
      </c>
    </row>
    <row r="46" spans="1:52" ht="16.5" x14ac:dyDescent="0.3">
      <c r="B46" s="114" t="s">
        <v>64</v>
      </c>
    </row>
    <row r="48" spans="1:52" ht="25.5" customHeight="1" x14ac:dyDescent="0.3">
      <c r="A48" s="115"/>
      <c r="B48" s="116" t="s">
        <v>56</v>
      </c>
      <c r="C48" s="116" t="s">
        <v>57</v>
      </c>
      <c r="D48" s="117"/>
      <c r="E48" s="117"/>
      <c r="F48" s="118" t="s">
        <v>65</v>
      </c>
      <c r="G48" s="118" t="s">
        <v>29</v>
      </c>
      <c r="H48" s="118" t="s">
        <v>30</v>
      </c>
      <c r="I48" s="230" t="s">
        <v>31</v>
      </c>
      <c r="J48" s="230"/>
    </row>
    <row r="49" spans="1:10" ht="25.5" customHeight="1" x14ac:dyDescent="0.3">
      <c r="A49" s="119"/>
      <c r="B49" s="120" t="s">
        <v>66</v>
      </c>
      <c r="C49" s="231" t="s">
        <v>67</v>
      </c>
      <c r="D49" s="232"/>
      <c r="E49" s="232"/>
      <c r="F49" s="121" t="s">
        <v>32</v>
      </c>
      <c r="G49" s="122">
        <f>'Rozpočet Pol'!I8</f>
        <v>2172.96</v>
      </c>
      <c r="H49" s="122">
        <f>'Rozpočet Pol'!K8</f>
        <v>4891.7700000000004</v>
      </c>
      <c r="I49" s="233"/>
      <c r="J49" s="233"/>
    </row>
    <row r="50" spans="1:10" ht="25.5" customHeight="1" x14ac:dyDescent="0.3">
      <c r="A50" s="119"/>
      <c r="B50" s="123" t="s">
        <v>68</v>
      </c>
      <c r="C50" s="226" t="s">
        <v>69</v>
      </c>
      <c r="D50" s="227"/>
      <c r="E50" s="227"/>
      <c r="F50" s="124" t="s">
        <v>32</v>
      </c>
      <c r="G50" s="125">
        <f>'Rozpočet Pol'!I10</f>
        <v>0</v>
      </c>
      <c r="H50" s="125">
        <f>'Rozpočet Pol'!K10</f>
        <v>412.38</v>
      </c>
      <c r="I50" s="228"/>
      <c r="J50" s="228"/>
    </row>
    <row r="51" spans="1:10" ht="25.5" customHeight="1" x14ac:dyDescent="0.3">
      <c r="A51" s="119"/>
      <c r="B51" s="123" t="s">
        <v>70</v>
      </c>
      <c r="C51" s="226" t="s">
        <v>71</v>
      </c>
      <c r="D51" s="227"/>
      <c r="E51" s="227"/>
      <c r="F51" s="124" t="s">
        <v>32</v>
      </c>
      <c r="G51" s="125">
        <f>'Rozpočet Pol'!I12</f>
        <v>0</v>
      </c>
      <c r="H51" s="125">
        <f>'Rozpočet Pol'!K12</f>
        <v>452.74</v>
      </c>
      <c r="I51" s="228"/>
      <c r="J51" s="228"/>
    </row>
    <row r="52" spans="1:10" ht="25.5" customHeight="1" x14ac:dyDescent="0.3">
      <c r="A52" s="119"/>
      <c r="B52" s="123" t="s">
        <v>72</v>
      </c>
      <c r="C52" s="226" t="s">
        <v>73</v>
      </c>
      <c r="D52" s="227"/>
      <c r="E52" s="227"/>
      <c r="F52" s="124" t="s">
        <v>33</v>
      </c>
      <c r="G52" s="125">
        <f>'Rozpočet Pol'!I16</f>
        <v>3655</v>
      </c>
      <c r="H52" s="125">
        <f>'Rozpočet Pol'!K16</f>
        <v>16147.51</v>
      </c>
      <c r="I52" s="228"/>
      <c r="J52" s="228"/>
    </row>
    <row r="53" spans="1:10" ht="25.5" customHeight="1" x14ac:dyDescent="0.3">
      <c r="A53" s="119"/>
      <c r="B53" s="123" t="s">
        <v>74</v>
      </c>
      <c r="C53" s="226" t="s">
        <v>75</v>
      </c>
      <c r="D53" s="227"/>
      <c r="E53" s="227"/>
      <c r="F53" s="124" t="s">
        <v>33</v>
      </c>
      <c r="G53" s="125">
        <f>'Rozpočet Pol'!I26</f>
        <v>0</v>
      </c>
      <c r="H53" s="125">
        <f>'Rozpočet Pol'!K26</f>
        <v>278.70999999999998</v>
      </c>
      <c r="I53" s="228"/>
      <c r="J53" s="228"/>
    </row>
    <row r="54" spans="1:10" ht="25.5" customHeight="1" x14ac:dyDescent="0.3">
      <c r="A54" s="119"/>
      <c r="B54" s="126" t="s">
        <v>35</v>
      </c>
      <c r="C54" s="211" t="s">
        <v>36</v>
      </c>
      <c r="D54" s="212"/>
      <c r="E54" s="212"/>
      <c r="F54" s="127" t="s">
        <v>35</v>
      </c>
      <c r="G54" s="128">
        <f>'Rozpočet Pol'!I28</f>
        <v>0</v>
      </c>
      <c r="H54" s="128">
        <f>'Rozpočet Pol'!K28</f>
        <v>1706.4</v>
      </c>
      <c r="I54" s="210"/>
      <c r="J54" s="210"/>
    </row>
    <row r="55" spans="1:10" ht="25.5" customHeight="1" x14ac:dyDescent="0.3">
      <c r="A55" s="129"/>
      <c r="B55" s="130" t="s">
        <v>59</v>
      </c>
      <c r="C55" s="130"/>
      <c r="D55" s="131"/>
      <c r="E55" s="131"/>
      <c r="F55" s="132"/>
      <c r="G55" s="133">
        <f>SUM(G49:G54)</f>
        <v>5827.96</v>
      </c>
      <c r="H55" s="133">
        <f>SUM(H49:H54)</f>
        <v>23889.510000000002</v>
      </c>
      <c r="I55" s="213">
        <f>SUM(I49:I54)</f>
        <v>0</v>
      </c>
      <c r="J55" s="213"/>
    </row>
    <row r="56" spans="1:10" x14ac:dyDescent="0.3">
      <c r="F56" s="134"/>
      <c r="G56" s="135"/>
      <c r="H56" s="134"/>
      <c r="I56" s="135"/>
      <c r="J56" s="135"/>
    </row>
    <row r="57" spans="1:10" x14ac:dyDescent="0.3">
      <c r="F57" s="134"/>
      <c r="G57" s="135"/>
      <c r="H57" s="134"/>
      <c r="I57" s="135"/>
      <c r="J57" s="135"/>
    </row>
    <row r="58" spans="1:10" x14ac:dyDescent="0.3">
      <c r="F58" s="134"/>
      <c r="G58" s="135"/>
      <c r="H58" s="134"/>
      <c r="I58" s="135"/>
      <c r="J58" s="135"/>
    </row>
  </sheetData>
  <mergeCells count="52"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B40:E40"/>
    <mergeCell ref="B43:J43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C53:E53"/>
    <mergeCell ref="I53:J53"/>
    <mergeCell ref="I54:J54"/>
    <mergeCell ref="C54:E54"/>
    <mergeCell ref="I55:J55"/>
    <mergeCell ref="B1:J1"/>
    <mergeCell ref="D2:J2"/>
    <mergeCell ref="D11:G11"/>
    <mergeCell ref="D12:G12"/>
    <mergeCell ref="D13:G13"/>
    <mergeCell ref="E15:F15"/>
    <mergeCell ref="G15:H15"/>
    <mergeCell ref="I15:J15"/>
    <mergeCell ref="G16:H16"/>
    <mergeCell ref="I16:J16"/>
    <mergeCell ref="E16:F16"/>
    <mergeCell ref="G17:H17"/>
    <mergeCell ref="I17:J17"/>
    <mergeCell ref="D3:J3"/>
    <mergeCell ref="G20:H20"/>
    <mergeCell ref="E20:F20"/>
    <mergeCell ref="I20:J20"/>
    <mergeCell ref="E21:F21"/>
    <mergeCell ref="G21:H21"/>
    <mergeCell ref="I21:J21"/>
    <mergeCell ref="E17:F17"/>
    <mergeCell ref="E18:F18"/>
    <mergeCell ref="G18:H18"/>
    <mergeCell ref="I18:J18"/>
    <mergeCell ref="I19:J19"/>
    <mergeCell ref="G19:H19"/>
    <mergeCell ref="E19:F19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3.5" x14ac:dyDescent="0.3"/>
  <cols>
    <col min="1" max="1" width="4.33203125" style="136" customWidth="1"/>
    <col min="2" max="2" width="14.5" style="136" customWidth="1"/>
    <col min="3" max="3" width="38.33203125" style="137" customWidth="1"/>
    <col min="4" max="4" width="4.6640625" style="136" customWidth="1"/>
    <col min="5" max="5" width="10.6640625" style="136" customWidth="1"/>
    <col min="6" max="6" width="10" style="136" customWidth="1"/>
    <col min="7" max="7" width="12.83203125" style="136" customWidth="1"/>
    <col min="8" max="16384" width="9.33203125" style="136"/>
  </cols>
  <sheetData>
    <row r="1" spans="1:7" ht="15.75" x14ac:dyDescent="0.3">
      <c r="A1" s="249" t="s">
        <v>76</v>
      </c>
      <c r="B1" s="249"/>
      <c r="C1" s="250"/>
      <c r="D1" s="249"/>
      <c r="E1" s="249"/>
      <c r="F1" s="249"/>
      <c r="G1" s="249"/>
    </row>
    <row r="2" spans="1:7" ht="24.95" customHeight="1" x14ac:dyDescent="0.3">
      <c r="A2" s="138" t="s">
        <v>77</v>
      </c>
      <c r="B2" s="139"/>
      <c r="C2" s="251"/>
      <c r="D2" s="251"/>
      <c r="E2" s="251"/>
      <c r="F2" s="251"/>
      <c r="G2" s="252"/>
    </row>
    <row r="3" spans="1:7" ht="24.95" hidden="1" customHeight="1" x14ac:dyDescent="0.3">
      <c r="A3" s="138" t="s">
        <v>78</v>
      </c>
      <c r="B3" s="139"/>
      <c r="C3" s="251"/>
      <c r="D3" s="251"/>
      <c r="E3" s="251"/>
      <c r="F3" s="251"/>
      <c r="G3" s="252"/>
    </row>
    <row r="4" spans="1:7" ht="24.95" hidden="1" customHeight="1" x14ac:dyDescent="0.3">
      <c r="A4" s="138" t="s">
        <v>79</v>
      </c>
      <c r="B4" s="139"/>
      <c r="C4" s="251"/>
      <c r="D4" s="251"/>
      <c r="E4" s="251"/>
      <c r="F4" s="251"/>
      <c r="G4" s="252"/>
    </row>
    <row r="5" spans="1:7" hidden="1" x14ac:dyDescent="0.3">
      <c r="B5" s="140"/>
      <c r="C5" s="141"/>
      <c r="D5" s="142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topLeftCell="A12" workbookViewId="0">
      <selection sqref="A1:G1"/>
    </sheetView>
  </sheetViews>
  <sheetFormatPr defaultRowHeight="13.5" outlineLevelRow="1" x14ac:dyDescent="0.3"/>
  <cols>
    <col min="1" max="1" width="4.33203125" customWidth="1"/>
    <col min="2" max="2" width="14.5" style="143" customWidth="1"/>
    <col min="3" max="3" width="38.33203125" style="143" customWidth="1"/>
    <col min="4" max="4" width="4.6640625" customWidth="1"/>
    <col min="5" max="5" width="10.6640625" customWidth="1"/>
    <col min="6" max="6" width="10" customWidth="1"/>
    <col min="7" max="7" width="12.8320312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265" t="s">
        <v>76</v>
      </c>
      <c r="B1" s="265"/>
      <c r="C1" s="265"/>
      <c r="D1" s="265"/>
      <c r="E1" s="265"/>
      <c r="F1" s="265"/>
      <c r="G1" s="265"/>
      <c r="AE1" t="s">
        <v>80</v>
      </c>
    </row>
    <row r="2" spans="1:60" ht="24.95" customHeight="1" x14ac:dyDescent="0.3">
      <c r="A2" s="144" t="s">
        <v>81</v>
      </c>
      <c r="B2" s="145"/>
      <c r="C2" s="266" t="s">
        <v>5</v>
      </c>
      <c r="D2" s="267"/>
      <c r="E2" s="267"/>
      <c r="F2" s="267"/>
      <c r="G2" s="268"/>
      <c r="AE2" t="s">
        <v>82</v>
      </c>
    </row>
    <row r="3" spans="1:60" ht="24.95" customHeight="1" x14ac:dyDescent="0.3">
      <c r="A3" s="146" t="s">
        <v>78</v>
      </c>
      <c r="B3" s="147"/>
      <c r="C3" s="269" t="s">
        <v>7</v>
      </c>
      <c r="D3" s="270"/>
      <c r="E3" s="270"/>
      <c r="F3" s="270"/>
      <c r="G3" s="271"/>
      <c r="AE3" t="s">
        <v>83</v>
      </c>
    </row>
    <row r="4" spans="1:60" ht="24.95" hidden="1" customHeight="1" x14ac:dyDescent="0.3">
      <c r="A4" s="146" t="s">
        <v>79</v>
      </c>
      <c r="B4" s="147"/>
      <c r="C4" s="269"/>
      <c r="D4" s="270"/>
      <c r="E4" s="270"/>
      <c r="F4" s="270"/>
      <c r="G4" s="271"/>
      <c r="AE4" t="s">
        <v>84</v>
      </c>
    </row>
    <row r="5" spans="1:60" hidden="1" x14ac:dyDescent="0.3">
      <c r="A5" s="148" t="s">
        <v>85</v>
      </c>
      <c r="B5" s="149"/>
      <c r="C5" s="150"/>
      <c r="D5" s="151"/>
      <c r="E5" s="151"/>
      <c r="F5" s="151"/>
      <c r="G5" s="152"/>
      <c r="AE5" t="s">
        <v>86</v>
      </c>
    </row>
    <row r="7" spans="1:60" ht="40.5" x14ac:dyDescent="0.3">
      <c r="A7" s="153" t="s">
        <v>87</v>
      </c>
      <c r="B7" s="154" t="s">
        <v>88</v>
      </c>
      <c r="C7" s="154" t="s">
        <v>89</v>
      </c>
      <c r="D7" s="153" t="s">
        <v>90</v>
      </c>
      <c r="E7" s="153" t="s">
        <v>91</v>
      </c>
      <c r="F7" s="155" t="s">
        <v>92</v>
      </c>
      <c r="G7" s="156" t="s">
        <v>31</v>
      </c>
      <c r="H7" s="157" t="s">
        <v>29</v>
      </c>
      <c r="I7" s="157" t="s">
        <v>93</v>
      </c>
      <c r="J7" s="157" t="s">
        <v>30</v>
      </c>
      <c r="K7" s="157" t="s">
        <v>94</v>
      </c>
      <c r="L7" s="157" t="s">
        <v>95</v>
      </c>
      <c r="M7" s="157" t="s">
        <v>96</v>
      </c>
      <c r="N7" s="157" t="s">
        <v>97</v>
      </c>
      <c r="O7" s="157" t="s">
        <v>98</v>
      </c>
      <c r="P7" s="157" t="s">
        <v>99</v>
      </c>
      <c r="Q7" s="157" t="s">
        <v>100</v>
      </c>
      <c r="R7" s="157" t="s">
        <v>101</v>
      </c>
      <c r="S7" s="157" t="s">
        <v>102</v>
      </c>
      <c r="T7" s="157" t="s">
        <v>103</v>
      </c>
      <c r="U7" s="158" t="s">
        <v>104</v>
      </c>
    </row>
    <row r="8" spans="1:60" x14ac:dyDescent="0.3">
      <c r="A8" s="159" t="s">
        <v>105</v>
      </c>
      <c r="B8" s="160" t="s">
        <v>66</v>
      </c>
      <c r="C8" s="161" t="s">
        <v>67</v>
      </c>
      <c r="D8" s="162"/>
      <c r="E8" s="163"/>
      <c r="F8" s="164"/>
      <c r="G8" s="164">
        <f>SUMIF(AE9,"&lt;&gt;NOR",G9)</f>
        <v>7064.73</v>
      </c>
      <c r="H8" s="164"/>
      <c r="I8" s="164">
        <f>SUM(I9)</f>
        <v>2172.96</v>
      </c>
      <c r="J8" s="164"/>
      <c r="K8" s="164">
        <f>SUM(K9)</f>
        <v>4891.7700000000004</v>
      </c>
      <c r="L8" s="164"/>
      <c r="M8" s="164">
        <f>SUM(M9)</f>
        <v>8548.3233</v>
      </c>
      <c r="N8" s="165"/>
      <c r="O8" s="165">
        <f>SUM(O9)</f>
        <v>0.45179999999999998</v>
      </c>
      <c r="P8" s="165"/>
      <c r="Q8" s="165">
        <f>SUM(Q9)</f>
        <v>0</v>
      </c>
      <c r="R8" s="165"/>
      <c r="S8" s="165"/>
      <c r="T8" s="159"/>
      <c r="U8" s="165">
        <f>SUM(U9)</f>
        <v>6.93</v>
      </c>
      <c r="AE8" t="s">
        <v>106</v>
      </c>
    </row>
    <row r="9" spans="1:60" ht="22.5" outlineLevel="1" x14ac:dyDescent="0.3">
      <c r="A9" s="166">
        <v>1</v>
      </c>
      <c r="B9" s="167" t="s">
        <v>107</v>
      </c>
      <c r="C9" s="168" t="s">
        <v>108</v>
      </c>
      <c r="D9" s="169" t="s">
        <v>109</v>
      </c>
      <c r="E9" s="170">
        <v>9</v>
      </c>
      <c r="F9" s="171">
        <v>784.97</v>
      </c>
      <c r="G9" s="172">
        <v>7064.73</v>
      </c>
      <c r="H9" s="171">
        <v>241.44</v>
      </c>
      <c r="I9" s="172">
        <f>ROUND(E9*H9,2)</f>
        <v>2172.96</v>
      </c>
      <c r="J9" s="171">
        <v>543.53</v>
      </c>
      <c r="K9" s="172">
        <f>ROUND(E9*J9,2)</f>
        <v>4891.7700000000004</v>
      </c>
      <c r="L9" s="172">
        <v>21</v>
      </c>
      <c r="M9" s="172">
        <f>G9*(1+L9/100)</f>
        <v>8548.3233</v>
      </c>
      <c r="N9" s="173">
        <v>5.0200000000000002E-2</v>
      </c>
      <c r="O9" s="173">
        <f>ROUND(E9*N9,5)</f>
        <v>0.45179999999999998</v>
      </c>
      <c r="P9" s="173">
        <v>0</v>
      </c>
      <c r="Q9" s="173">
        <f>ROUND(E9*P9,5)</f>
        <v>0</v>
      </c>
      <c r="R9" s="173"/>
      <c r="S9" s="173"/>
      <c r="T9" s="174">
        <v>0.77</v>
      </c>
      <c r="U9" s="173">
        <f>ROUND(E9*T9,2)</f>
        <v>6.93</v>
      </c>
      <c r="V9" s="175"/>
      <c r="W9" s="175"/>
      <c r="X9" s="175"/>
      <c r="Y9" s="175"/>
      <c r="Z9" s="175"/>
      <c r="AA9" s="175"/>
      <c r="AB9" s="175"/>
      <c r="AC9" s="175"/>
      <c r="AD9" s="175"/>
      <c r="AE9" s="175" t="s">
        <v>110</v>
      </c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</row>
    <row r="10" spans="1:60" x14ac:dyDescent="0.3">
      <c r="A10" s="176" t="s">
        <v>105</v>
      </c>
      <c r="B10" s="177" t="s">
        <v>68</v>
      </c>
      <c r="C10" s="178" t="s">
        <v>69</v>
      </c>
      <c r="D10" s="179"/>
      <c r="E10" s="180"/>
      <c r="F10" s="181"/>
      <c r="G10" s="181">
        <f>SUMIF(AE11,"&lt;&gt;NOR",G11)</f>
        <v>412.38</v>
      </c>
      <c r="H10" s="181"/>
      <c r="I10" s="181">
        <f>SUM(I11)</f>
        <v>0</v>
      </c>
      <c r="J10" s="181"/>
      <c r="K10" s="181">
        <f>SUM(K11)</f>
        <v>412.38</v>
      </c>
      <c r="L10" s="181"/>
      <c r="M10" s="181">
        <f>SUM(M11)</f>
        <v>498.97979999999995</v>
      </c>
      <c r="N10" s="182"/>
      <c r="O10" s="182">
        <f>SUM(O11)</f>
        <v>9.5E-4</v>
      </c>
      <c r="P10" s="182"/>
      <c r="Q10" s="182">
        <f>SUM(Q11)</f>
        <v>3.2500000000000001E-2</v>
      </c>
      <c r="R10" s="182"/>
      <c r="S10" s="182"/>
      <c r="T10" s="183"/>
      <c r="U10" s="182">
        <f>SUM(U11)</f>
        <v>0.27</v>
      </c>
      <c r="AE10" t="s">
        <v>106</v>
      </c>
    </row>
    <row r="11" spans="1:60" ht="22.5" outlineLevel="1" x14ac:dyDescent="0.3">
      <c r="A11" s="166">
        <v>2</v>
      </c>
      <c r="B11" s="167" t="s">
        <v>111</v>
      </c>
      <c r="C11" s="168" t="s">
        <v>112</v>
      </c>
      <c r="D11" s="169" t="s">
        <v>113</v>
      </c>
      <c r="E11" s="170">
        <v>2.5</v>
      </c>
      <c r="F11" s="171">
        <v>164.95</v>
      </c>
      <c r="G11" s="172">
        <v>412.38</v>
      </c>
      <c r="H11" s="171">
        <v>0</v>
      </c>
      <c r="I11" s="172">
        <f>ROUND(E11*H11,2)</f>
        <v>0</v>
      </c>
      <c r="J11" s="171">
        <v>164.95</v>
      </c>
      <c r="K11" s="172">
        <f>ROUND(E11*J11,2)</f>
        <v>412.38</v>
      </c>
      <c r="L11" s="172">
        <v>21</v>
      </c>
      <c r="M11" s="172">
        <f>G11*(1+L11/100)</f>
        <v>498.97979999999995</v>
      </c>
      <c r="N11" s="173">
        <v>3.8000000000000002E-4</v>
      </c>
      <c r="O11" s="173">
        <f>ROUND(E11*N11,5)</f>
        <v>9.5E-4</v>
      </c>
      <c r="P11" s="173">
        <v>1.2999999999999999E-2</v>
      </c>
      <c r="Q11" s="173">
        <f>ROUND(E11*P11,5)</f>
        <v>3.2500000000000001E-2</v>
      </c>
      <c r="R11" s="173"/>
      <c r="S11" s="173"/>
      <c r="T11" s="174">
        <v>0.107</v>
      </c>
      <c r="U11" s="173">
        <f>ROUND(E11*T11,2)</f>
        <v>0.27</v>
      </c>
      <c r="V11" s="175"/>
      <c r="W11" s="175"/>
      <c r="X11" s="175"/>
      <c r="Y11" s="175"/>
      <c r="Z11" s="175"/>
      <c r="AA11" s="175"/>
      <c r="AB11" s="175"/>
      <c r="AC11" s="175"/>
      <c r="AD11" s="175"/>
      <c r="AE11" s="175" t="s">
        <v>110</v>
      </c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</row>
    <row r="12" spans="1:60" x14ac:dyDescent="0.3">
      <c r="A12" s="176" t="s">
        <v>105</v>
      </c>
      <c r="B12" s="177" t="s">
        <v>70</v>
      </c>
      <c r="C12" s="178" t="s">
        <v>71</v>
      </c>
      <c r="D12" s="179"/>
      <c r="E12" s="180"/>
      <c r="F12" s="181"/>
      <c r="G12" s="181">
        <f>SUMIF(AE13:AE15,"&lt;&gt;NOR",G13:G15)</f>
        <v>452.89</v>
      </c>
      <c r="H12" s="181"/>
      <c r="I12" s="181">
        <f>SUM(I13:I15)</f>
        <v>0</v>
      </c>
      <c r="J12" s="181"/>
      <c r="K12" s="181">
        <f>SUM(K13:K15)</f>
        <v>452.74</v>
      </c>
      <c r="L12" s="181"/>
      <c r="M12" s="181">
        <f>SUM(M13:M15)</f>
        <v>547.99689999999998</v>
      </c>
      <c r="N12" s="182"/>
      <c r="O12" s="182">
        <f>SUM(O13:O15)</f>
        <v>0</v>
      </c>
      <c r="P12" s="182"/>
      <c r="Q12" s="182">
        <f>SUM(Q13:Q15)</f>
        <v>2.24E-2</v>
      </c>
      <c r="R12" s="182"/>
      <c r="S12" s="182"/>
      <c r="T12" s="183"/>
      <c r="U12" s="182">
        <f>SUM(U13:U15)</f>
        <v>0.94</v>
      </c>
      <c r="AE12" t="s">
        <v>106</v>
      </c>
    </row>
    <row r="13" spans="1:60" ht="22.5" outlineLevel="1" x14ac:dyDescent="0.3">
      <c r="A13" s="166">
        <v>3</v>
      </c>
      <c r="B13" s="167" t="s">
        <v>114</v>
      </c>
      <c r="C13" s="168" t="s">
        <v>115</v>
      </c>
      <c r="D13" s="169" t="s">
        <v>113</v>
      </c>
      <c r="E13" s="170">
        <v>1.4</v>
      </c>
      <c r="F13" s="171">
        <v>266.2</v>
      </c>
      <c r="G13" s="172">
        <v>372.68</v>
      </c>
      <c r="H13" s="171">
        <v>0</v>
      </c>
      <c r="I13" s="172">
        <f>ROUND(E13*H13,2)</f>
        <v>0</v>
      </c>
      <c r="J13" s="171">
        <v>266.2</v>
      </c>
      <c r="K13" s="172">
        <f>ROUND(E13*J13,2)</f>
        <v>372.68</v>
      </c>
      <c r="L13" s="172">
        <v>21</v>
      </c>
      <c r="M13" s="172">
        <f>G13*(1+L13/100)</f>
        <v>450.94279999999998</v>
      </c>
      <c r="N13" s="173">
        <v>0</v>
      </c>
      <c r="O13" s="173">
        <f>ROUND(E13*N13,5)</f>
        <v>0</v>
      </c>
      <c r="P13" s="173">
        <v>1.6E-2</v>
      </c>
      <c r="Q13" s="173">
        <f>ROUND(E13*P13,5)</f>
        <v>2.24E-2</v>
      </c>
      <c r="R13" s="173"/>
      <c r="S13" s="173"/>
      <c r="T13" s="174">
        <v>0.59099999999999997</v>
      </c>
      <c r="U13" s="173">
        <f>ROUND(E13*T13,2)</f>
        <v>0.83</v>
      </c>
      <c r="V13" s="175"/>
      <c r="W13" s="175"/>
      <c r="X13" s="175"/>
      <c r="Y13" s="175"/>
      <c r="Z13" s="175"/>
      <c r="AA13" s="175"/>
      <c r="AB13" s="175"/>
      <c r="AC13" s="175"/>
      <c r="AD13" s="175"/>
      <c r="AE13" s="175" t="s">
        <v>110</v>
      </c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</row>
    <row r="14" spans="1:60" ht="22.5" outlineLevel="1" x14ac:dyDescent="0.3">
      <c r="A14" s="166">
        <v>4</v>
      </c>
      <c r="B14" s="167" t="s">
        <v>116</v>
      </c>
      <c r="C14" s="168" t="s">
        <v>117</v>
      </c>
      <c r="D14" s="169" t="s">
        <v>118</v>
      </c>
      <c r="E14" s="170">
        <v>5.4899999999999997E-2</v>
      </c>
      <c r="F14" s="171">
        <v>366.13</v>
      </c>
      <c r="G14" s="172">
        <v>20.14</v>
      </c>
      <c r="H14" s="171">
        <v>0</v>
      </c>
      <c r="I14" s="172">
        <f>ROUND(E14*H14,2)</f>
        <v>0</v>
      </c>
      <c r="J14" s="171">
        <v>366.13</v>
      </c>
      <c r="K14" s="172">
        <f>ROUND(E14*J14,2)</f>
        <v>20.100000000000001</v>
      </c>
      <c r="L14" s="172">
        <v>21</v>
      </c>
      <c r="M14" s="172">
        <f>G14*(1+L14/100)</f>
        <v>24.369399999999999</v>
      </c>
      <c r="N14" s="173">
        <v>0</v>
      </c>
      <c r="O14" s="173">
        <f>ROUND(E14*N14,5)</f>
        <v>0</v>
      </c>
      <c r="P14" s="173">
        <v>0</v>
      </c>
      <c r="Q14" s="173">
        <f>ROUND(E14*P14,5)</f>
        <v>0</v>
      </c>
      <c r="R14" s="173"/>
      <c r="S14" s="173"/>
      <c r="T14" s="174">
        <v>2.0089999999999999</v>
      </c>
      <c r="U14" s="173">
        <f>ROUND(E14*T14,2)</f>
        <v>0.11</v>
      </c>
      <c r="V14" s="175"/>
      <c r="W14" s="175"/>
      <c r="X14" s="175"/>
      <c r="Y14" s="175"/>
      <c r="Z14" s="175"/>
      <c r="AA14" s="175"/>
      <c r="AB14" s="175"/>
      <c r="AC14" s="175"/>
      <c r="AD14" s="175"/>
      <c r="AE14" s="175" t="s">
        <v>110</v>
      </c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</row>
    <row r="15" spans="1:60" ht="22.5" outlineLevel="1" x14ac:dyDescent="0.3">
      <c r="A15" s="166">
        <v>5</v>
      </c>
      <c r="B15" s="167" t="s">
        <v>119</v>
      </c>
      <c r="C15" s="168" t="s">
        <v>120</v>
      </c>
      <c r="D15" s="169" t="s">
        <v>118</v>
      </c>
      <c r="E15" s="170">
        <v>5.4899999999999997E-2</v>
      </c>
      <c r="F15" s="171">
        <v>1092.0999999999999</v>
      </c>
      <c r="G15" s="172">
        <v>60.07</v>
      </c>
      <c r="H15" s="171">
        <v>0</v>
      </c>
      <c r="I15" s="172">
        <f>ROUND(E15*H15,2)</f>
        <v>0</v>
      </c>
      <c r="J15" s="171">
        <v>1092.0999999999999</v>
      </c>
      <c r="K15" s="172">
        <f>ROUND(E15*J15,2)</f>
        <v>59.96</v>
      </c>
      <c r="L15" s="172">
        <v>21</v>
      </c>
      <c r="M15" s="172">
        <f>G15*(1+L15/100)</f>
        <v>72.684699999999992</v>
      </c>
      <c r="N15" s="173">
        <v>0</v>
      </c>
      <c r="O15" s="173">
        <f>ROUND(E15*N15,5)</f>
        <v>0</v>
      </c>
      <c r="P15" s="173">
        <v>0</v>
      </c>
      <c r="Q15" s="173">
        <f>ROUND(E15*P15,5)</f>
        <v>0</v>
      </c>
      <c r="R15" s="173"/>
      <c r="S15" s="173"/>
      <c r="T15" s="174">
        <v>0</v>
      </c>
      <c r="U15" s="173">
        <f>ROUND(E15*T15,2)</f>
        <v>0</v>
      </c>
      <c r="V15" s="175"/>
      <c r="W15" s="175"/>
      <c r="X15" s="175"/>
      <c r="Y15" s="175"/>
      <c r="Z15" s="175"/>
      <c r="AA15" s="175"/>
      <c r="AB15" s="175"/>
      <c r="AC15" s="175"/>
      <c r="AD15" s="175"/>
      <c r="AE15" s="175" t="s">
        <v>110</v>
      </c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</row>
    <row r="16" spans="1:60" x14ac:dyDescent="0.3">
      <c r="A16" s="176" t="s">
        <v>105</v>
      </c>
      <c r="B16" s="177" t="s">
        <v>72</v>
      </c>
      <c r="C16" s="178" t="s">
        <v>73</v>
      </c>
      <c r="D16" s="179"/>
      <c r="E16" s="180"/>
      <c r="F16" s="181"/>
      <c r="G16" s="181">
        <f>SUMIF(AE17:AE25,"&lt;&gt;NOR",G17:G25)</f>
        <v>19801.770000000004</v>
      </c>
      <c r="H16" s="181"/>
      <c r="I16" s="181">
        <f>SUM(I17:I25)</f>
        <v>3655</v>
      </c>
      <c r="J16" s="181"/>
      <c r="K16" s="181">
        <f>SUM(K17:K25)</f>
        <v>16147.51</v>
      </c>
      <c r="L16" s="181"/>
      <c r="M16" s="181">
        <f>SUM(M17:M25)</f>
        <v>23960.1417</v>
      </c>
      <c r="N16" s="182"/>
      <c r="O16" s="182">
        <f>SUM(O17:O25)</f>
        <v>2.1319999999999999E-2</v>
      </c>
      <c r="P16" s="182"/>
      <c r="Q16" s="182">
        <f>SUM(Q17:Q25)</f>
        <v>0.11627999999999999</v>
      </c>
      <c r="R16" s="182"/>
      <c r="S16" s="182"/>
      <c r="T16" s="183"/>
      <c r="U16" s="182">
        <f>SUM(U17:U25)</f>
        <v>12.080000000000002</v>
      </c>
      <c r="AE16" t="s">
        <v>106</v>
      </c>
    </row>
    <row r="17" spans="1:60" ht="22.5" outlineLevel="1" x14ac:dyDescent="0.3">
      <c r="A17" s="166">
        <v>6</v>
      </c>
      <c r="B17" s="167" t="s">
        <v>121</v>
      </c>
      <c r="C17" s="168" t="s">
        <v>122</v>
      </c>
      <c r="D17" s="169" t="s">
        <v>113</v>
      </c>
      <c r="E17" s="170">
        <v>34</v>
      </c>
      <c r="F17" s="171">
        <v>126.27</v>
      </c>
      <c r="G17" s="172">
        <v>4293.18</v>
      </c>
      <c r="H17" s="171">
        <v>107.5</v>
      </c>
      <c r="I17" s="172">
        <f t="shared" ref="I17:I25" si="0">ROUND(E17*H17,2)</f>
        <v>3655</v>
      </c>
      <c r="J17" s="171">
        <v>18.77</v>
      </c>
      <c r="K17" s="172">
        <f t="shared" ref="K17:K25" si="1">ROUND(E17*J17,2)</f>
        <v>638.17999999999995</v>
      </c>
      <c r="L17" s="172">
        <v>21</v>
      </c>
      <c r="M17" s="172">
        <f t="shared" ref="M17:M25" si="2">G17*(1+L17/100)</f>
        <v>5194.7478000000001</v>
      </c>
      <c r="N17" s="173">
        <v>3.8999999999999999E-4</v>
      </c>
      <c r="O17" s="173">
        <f t="shared" ref="O17:O25" si="3">ROUND(E17*N17,5)</f>
        <v>1.3259999999999999E-2</v>
      </c>
      <c r="P17" s="173">
        <v>3.4199999999999999E-3</v>
      </c>
      <c r="Q17" s="173">
        <f t="shared" ref="Q17:Q25" si="4">ROUND(E17*P17,5)</f>
        <v>0.11627999999999999</v>
      </c>
      <c r="R17" s="173"/>
      <c r="S17" s="173"/>
      <c r="T17" s="174">
        <v>4.3999999999999997E-2</v>
      </c>
      <c r="U17" s="173">
        <f t="shared" ref="U17:U25" si="5">ROUND(E17*T17,2)</f>
        <v>1.5</v>
      </c>
      <c r="V17" s="175"/>
      <c r="W17" s="175"/>
      <c r="X17" s="175"/>
      <c r="Y17" s="175"/>
      <c r="Z17" s="175"/>
      <c r="AA17" s="175"/>
      <c r="AB17" s="175"/>
      <c r="AC17" s="175"/>
      <c r="AD17" s="175"/>
      <c r="AE17" s="175" t="s">
        <v>110</v>
      </c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</row>
    <row r="18" spans="1:60" ht="22.5" outlineLevel="1" x14ac:dyDescent="0.3">
      <c r="A18" s="166">
        <v>7</v>
      </c>
      <c r="B18" s="167" t="s">
        <v>123</v>
      </c>
      <c r="C18" s="168" t="s">
        <v>124</v>
      </c>
      <c r="D18" s="169" t="s">
        <v>118</v>
      </c>
      <c r="E18" s="170">
        <v>0.11627999999999999</v>
      </c>
      <c r="F18" s="171">
        <v>1729.15</v>
      </c>
      <c r="G18" s="172">
        <v>200.58</v>
      </c>
      <c r="H18" s="171">
        <v>0</v>
      </c>
      <c r="I18" s="172">
        <f t="shared" si="0"/>
        <v>0</v>
      </c>
      <c r="J18" s="171">
        <v>1729.15</v>
      </c>
      <c r="K18" s="172">
        <f t="shared" si="1"/>
        <v>201.07</v>
      </c>
      <c r="L18" s="172">
        <v>21</v>
      </c>
      <c r="M18" s="172">
        <f t="shared" si="2"/>
        <v>242.70180000000002</v>
      </c>
      <c r="N18" s="173">
        <v>0</v>
      </c>
      <c r="O18" s="173">
        <f t="shared" si="3"/>
        <v>0</v>
      </c>
      <c r="P18" s="173">
        <v>0</v>
      </c>
      <c r="Q18" s="173">
        <f t="shared" si="4"/>
        <v>0</v>
      </c>
      <c r="R18" s="173"/>
      <c r="S18" s="173"/>
      <c r="T18" s="174">
        <v>3.379</v>
      </c>
      <c r="U18" s="173">
        <f t="shared" si="5"/>
        <v>0.39</v>
      </c>
      <c r="V18" s="175"/>
      <c r="W18" s="175"/>
      <c r="X18" s="175"/>
      <c r="Y18" s="175"/>
      <c r="Z18" s="175"/>
      <c r="AA18" s="175"/>
      <c r="AB18" s="175"/>
      <c r="AC18" s="175"/>
      <c r="AD18" s="175"/>
      <c r="AE18" s="175" t="s">
        <v>110</v>
      </c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</row>
    <row r="19" spans="1:60" outlineLevel="1" x14ac:dyDescent="0.3">
      <c r="A19" s="166">
        <v>8</v>
      </c>
      <c r="B19" s="167" t="s">
        <v>125</v>
      </c>
      <c r="C19" s="168" t="s">
        <v>126</v>
      </c>
      <c r="D19" s="169" t="s">
        <v>109</v>
      </c>
      <c r="E19" s="170">
        <v>7</v>
      </c>
      <c r="F19" s="171">
        <v>38.56</v>
      </c>
      <c r="G19" s="172">
        <v>269.92</v>
      </c>
      <c r="H19" s="171">
        <v>0</v>
      </c>
      <c r="I19" s="172">
        <f t="shared" si="0"/>
        <v>0</v>
      </c>
      <c r="J19" s="171">
        <v>38.56</v>
      </c>
      <c r="K19" s="172">
        <f t="shared" si="1"/>
        <v>269.92</v>
      </c>
      <c r="L19" s="172">
        <v>21</v>
      </c>
      <c r="M19" s="172">
        <f t="shared" si="2"/>
        <v>326.60320000000002</v>
      </c>
      <c r="N19" s="173">
        <v>0</v>
      </c>
      <c r="O19" s="173">
        <f t="shared" si="3"/>
        <v>0</v>
      </c>
      <c r="P19" s="173">
        <v>0</v>
      </c>
      <c r="Q19" s="173">
        <f t="shared" si="4"/>
        <v>0</v>
      </c>
      <c r="R19" s="173"/>
      <c r="S19" s="173"/>
      <c r="T19" s="174">
        <v>6.4000000000000001E-2</v>
      </c>
      <c r="U19" s="173">
        <f t="shared" si="5"/>
        <v>0.45</v>
      </c>
      <c r="V19" s="175"/>
      <c r="W19" s="175"/>
      <c r="X19" s="175"/>
      <c r="Y19" s="175"/>
      <c r="Z19" s="175"/>
      <c r="AA19" s="175"/>
      <c r="AB19" s="175"/>
      <c r="AC19" s="175"/>
      <c r="AD19" s="175"/>
      <c r="AE19" s="175" t="s">
        <v>110</v>
      </c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</row>
    <row r="20" spans="1:60" ht="22.5" outlineLevel="1" x14ac:dyDescent="0.3">
      <c r="A20" s="166">
        <v>9</v>
      </c>
      <c r="B20" s="167" t="s">
        <v>127</v>
      </c>
      <c r="C20" s="168" t="s">
        <v>128</v>
      </c>
      <c r="D20" s="169" t="s">
        <v>109</v>
      </c>
      <c r="E20" s="170">
        <v>7</v>
      </c>
      <c r="F20" s="171">
        <v>337.87</v>
      </c>
      <c r="G20" s="172">
        <v>2365.09</v>
      </c>
      <c r="H20" s="171">
        <v>0</v>
      </c>
      <c r="I20" s="172">
        <f t="shared" si="0"/>
        <v>0</v>
      </c>
      <c r="J20" s="171">
        <v>337.87</v>
      </c>
      <c r="K20" s="172">
        <f t="shared" si="1"/>
        <v>2365.09</v>
      </c>
      <c r="L20" s="172">
        <v>21</v>
      </c>
      <c r="M20" s="172">
        <f t="shared" si="2"/>
        <v>2861.7589000000003</v>
      </c>
      <c r="N20" s="173">
        <v>9.3000000000000005E-4</v>
      </c>
      <c r="O20" s="173">
        <f t="shared" si="3"/>
        <v>6.5100000000000002E-3</v>
      </c>
      <c r="P20" s="173">
        <v>0</v>
      </c>
      <c r="Q20" s="173">
        <f t="shared" si="4"/>
        <v>0</v>
      </c>
      <c r="R20" s="173"/>
      <c r="S20" s="173"/>
      <c r="T20" s="174">
        <v>0.42399999999999999</v>
      </c>
      <c r="U20" s="173">
        <f t="shared" si="5"/>
        <v>2.97</v>
      </c>
      <c r="V20" s="175"/>
      <c r="W20" s="175"/>
      <c r="X20" s="175"/>
      <c r="Y20" s="175"/>
      <c r="Z20" s="175"/>
      <c r="AA20" s="175"/>
      <c r="AB20" s="175"/>
      <c r="AC20" s="175"/>
      <c r="AD20" s="175"/>
      <c r="AE20" s="175" t="s">
        <v>110</v>
      </c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</row>
    <row r="21" spans="1:60" ht="22.5" outlineLevel="1" x14ac:dyDescent="0.3">
      <c r="A21" s="166">
        <v>10</v>
      </c>
      <c r="B21" s="167" t="s">
        <v>129</v>
      </c>
      <c r="C21" s="168" t="s">
        <v>130</v>
      </c>
      <c r="D21" s="169" t="s">
        <v>109</v>
      </c>
      <c r="E21" s="170">
        <v>2</v>
      </c>
      <c r="F21" s="171">
        <v>1112.55</v>
      </c>
      <c r="G21" s="172">
        <v>2225.1</v>
      </c>
      <c r="H21" s="171">
        <v>0</v>
      </c>
      <c r="I21" s="172">
        <f t="shared" si="0"/>
        <v>0</v>
      </c>
      <c r="J21" s="171">
        <v>1112.55</v>
      </c>
      <c r="K21" s="172">
        <f t="shared" si="1"/>
        <v>2225.1</v>
      </c>
      <c r="L21" s="172">
        <v>21</v>
      </c>
      <c r="M21" s="172">
        <f t="shared" si="2"/>
        <v>2692.3709999999996</v>
      </c>
      <c r="N21" s="173">
        <v>2.0000000000000001E-4</v>
      </c>
      <c r="O21" s="173">
        <f t="shared" si="3"/>
        <v>4.0000000000000002E-4</v>
      </c>
      <c r="P21" s="173">
        <v>0</v>
      </c>
      <c r="Q21" s="173">
        <f t="shared" si="4"/>
        <v>0</v>
      </c>
      <c r="R21" s="173"/>
      <c r="S21" s="173"/>
      <c r="T21" s="174">
        <v>0.16600000000000001</v>
      </c>
      <c r="U21" s="173">
        <f t="shared" si="5"/>
        <v>0.33</v>
      </c>
      <c r="V21" s="175"/>
      <c r="W21" s="175"/>
      <c r="X21" s="175"/>
      <c r="Y21" s="175"/>
      <c r="Z21" s="175"/>
      <c r="AA21" s="175"/>
      <c r="AB21" s="175"/>
      <c r="AC21" s="175"/>
      <c r="AD21" s="175"/>
      <c r="AE21" s="175" t="s">
        <v>110</v>
      </c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5"/>
      <c r="BC21" s="175"/>
      <c r="BD21" s="175"/>
      <c r="BE21" s="175"/>
      <c r="BF21" s="175"/>
      <c r="BG21" s="175"/>
      <c r="BH21" s="175"/>
    </row>
    <row r="22" spans="1:60" ht="22.5" outlineLevel="1" x14ac:dyDescent="0.3">
      <c r="A22" s="166">
        <v>11</v>
      </c>
      <c r="B22" s="167" t="s">
        <v>131</v>
      </c>
      <c r="C22" s="168" t="s">
        <v>132</v>
      </c>
      <c r="D22" s="169" t="s">
        <v>109</v>
      </c>
      <c r="E22" s="170">
        <v>5</v>
      </c>
      <c r="F22" s="171">
        <v>1117.1199999999999</v>
      </c>
      <c r="G22" s="172">
        <v>5585.6</v>
      </c>
      <c r="H22" s="171">
        <v>0</v>
      </c>
      <c r="I22" s="172">
        <f t="shared" si="0"/>
        <v>0</v>
      </c>
      <c r="J22" s="171">
        <v>1117.1199999999999</v>
      </c>
      <c r="K22" s="172">
        <f t="shared" si="1"/>
        <v>5585.6</v>
      </c>
      <c r="L22" s="172">
        <v>21</v>
      </c>
      <c r="M22" s="172">
        <f t="shared" si="2"/>
        <v>6758.576</v>
      </c>
      <c r="N22" s="173">
        <v>2.3000000000000001E-4</v>
      </c>
      <c r="O22" s="173">
        <f t="shared" si="3"/>
        <v>1.15E-3</v>
      </c>
      <c r="P22" s="173">
        <v>0</v>
      </c>
      <c r="Q22" s="173">
        <f t="shared" si="4"/>
        <v>0</v>
      </c>
      <c r="R22" s="173"/>
      <c r="S22" s="173"/>
      <c r="T22" s="174">
        <v>0.16600000000000001</v>
      </c>
      <c r="U22" s="173">
        <f t="shared" si="5"/>
        <v>0.83</v>
      </c>
      <c r="V22" s="175"/>
      <c r="W22" s="175"/>
      <c r="X22" s="175"/>
      <c r="Y22" s="175"/>
      <c r="Z22" s="175"/>
      <c r="AA22" s="175"/>
      <c r="AB22" s="175"/>
      <c r="AC22" s="175"/>
      <c r="AD22" s="175"/>
      <c r="AE22" s="175" t="s">
        <v>110</v>
      </c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</row>
    <row r="23" spans="1:60" outlineLevel="1" x14ac:dyDescent="0.3">
      <c r="A23" s="166">
        <v>12</v>
      </c>
      <c r="B23" s="167" t="s">
        <v>133</v>
      </c>
      <c r="C23" s="168" t="s">
        <v>134</v>
      </c>
      <c r="D23" s="169" t="s">
        <v>113</v>
      </c>
      <c r="E23" s="170">
        <v>68</v>
      </c>
      <c r="F23" s="171">
        <v>33.9</v>
      </c>
      <c r="G23" s="172">
        <v>2305.1999999999998</v>
      </c>
      <c r="H23" s="171">
        <v>0</v>
      </c>
      <c r="I23" s="172">
        <f t="shared" si="0"/>
        <v>0</v>
      </c>
      <c r="J23" s="171">
        <v>33.9</v>
      </c>
      <c r="K23" s="172">
        <f t="shared" si="1"/>
        <v>2305.1999999999998</v>
      </c>
      <c r="L23" s="172">
        <v>21</v>
      </c>
      <c r="M23" s="172">
        <f t="shared" si="2"/>
        <v>2789.2919999999999</v>
      </c>
      <c r="N23" s="173">
        <v>0</v>
      </c>
      <c r="O23" s="173">
        <f t="shared" si="3"/>
        <v>0</v>
      </c>
      <c r="P23" s="173">
        <v>0</v>
      </c>
      <c r="Q23" s="173">
        <f t="shared" si="4"/>
        <v>0</v>
      </c>
      <c r="R23" s="173"/>
      <c r="S23" s="173"/>
      <c r="T23" s="174">
        <v>6.2E-2</v>
      </c>
      <c r="U23" s="173">
        <f t="shared" si="5"/>
        <v>4.22</v>
      </c>
      <c r="V23" s="175"/>
      <c r="W23" s="175"/>
      <c r="X23" s="175"/>
      <c r="Y23" s="175"/>
      <c r="Z23" s="175"/>
      <c r="AA23" s="175"/>
      <c r="AB23" s="175"/>
      <c r="AC23" s="175"/>
      <c r="AD23" s="175"/>
      <c r="AE23" s="175" t="s">
        <v>110</v>
      </c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</row>
    <row r="24" spans="1:60" outlineLevel="1" x14ac:dyDescent="0.3">
      <c r="A24" s="166">
        <v>13</v>
      </c>
      <c r="B24" s="167" t="s">
        <v>135</v>
      </c>
      <c r="C24" s="168" t="s">
        <v>136</v>
      </c>
      <c r="D24" s="169" t="s">
        <v>109</v>
      </c>
      <c r="E24" s="170">
        <v>1</v>
      </c>
      <c r="F24" s="171">
        <v>2104.56</v>
      </c>
      <c r="G24" s="172">
        <v>2104.56</v>
      </c>
      <c r="H24" s="171">
        <v>0</v>
      </c>
      <c r="I24" s="172">
        <f t="shared" si="0"/>
        <v>0</v>
      </c>
      <c r="J24" s="171">
        <v>2104.56</v>
      </c>
      <c r="K24" s="172">
        <f t="shared" si="1"/>
        <v>2104.56</v>
      </c>
      <c r="L24" s="172">
        <v>21</v>
      </c>
      <c r="M24" s="172">
        <f t="shared" si="2"/>
        <v>2546.5175999999997</v>
      </c>
      <c r="N24" s="173">
        <v>0</v>
      </c>
      <c r="O24" s="173">
        <f t="shared" si="3"/>
        <v>0</v>
      </c>
      <c r="P24" s="173">
        <v>0</v>
      </c>
      <c r="Q24" s="173">
        <f t="shared" si="4"/>
        <v>0</v>
      </c>
      <c r="R24" s="173"/>
      <c r="S24" s="173"/>
      <c r="T24" s="174">
        <v>0.48199999999999998</v>
      </c>
      <c r="U24" s="173">
        <f t="shared" si="5"/>
        <v>0.48</v>
      </c>
      <c r="V24" s="175"/>
      <c r="W24" s="175"/>
      <c r="X24" s="175"/>
      <c r="Y24" s="175"/>
      <c r="Z24" s="175"/>
      <c r="AA24" s="175"/>
      <c r="AB24" s="175"/>
      <c r="AC24" s="175"/>
      <c r="AD24" s="175"/>
      <c r="AE24" s="175" t="s">
        <v>110</v>
      </c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5"/>
      <c r="AS24" s="175"/>
      <c r="AT24" s="175"/>
      <c r="AU24" s="175"/>
      <c r="AV24" s="175"/>
      <c r="AW24" s="175"/>
      <c r="AX24" s="175"/>
      <c r="AY24" s="175"/>
      <c r="AZ24" s="175"/>
      <c r="BA24" s="175"/>
      <c r="BB24" s="175"/>
      <c r="BC24" s="175"/>
      <c r="BD24" s="175"/>
      <c r="BE24" s="175"/>
      <c r="BF24" s="175"/>
      <c r="BG24" s="175"/>
      <c r="BH24" s="175"/>
    </row>
    <row r="25" spans="1:60" ht="22.5" outlineLevel="1" x14ac:dyDescent="0.3">
      <c r="A25" s="166">
        <v>14</v>
      </c>
      <c r="B25" s="167" t="s">
        <v>137</v>
      </c>
      <c r="C25" s="168" t="s">
        <v>138</v>
      </c>
      <c r="D25" s="169" t="s">
        <v>118</v>
      </c>
      <c r="E25" s="170">
        <v>0.68037999999999998</v>
      </c>
      <c r="F25" s="171">
        <v>665.5</v>
      </c>
      <c r="G25" s="172">
        <v>452.54</v>
      </c>
      <c r="H25" s="171">
        <v>0</v>
      </c>
      <c r="I25" s="172">
        <f t="shared" si="0"/>
        <v>0</v>
      </c>
      <c r="J25" s="171">
        <v>665.5</v>
      </c>
      <c r="K25" s="172">
        <f t="shared" si="1"/>
        <v>452.79</v>
      </c>
      <c r="L25" s="172">
        <v>21</v>
      </c>
      <c r="M25" s="172">
        <f t="shared" si="2"/>
        <v>547.57339999999999</v>
      </c>
      <c r="N25" s="173">
        <v>0</v>
      </c>
      <c r="O25" s="173">
        <f t="shared" si="3"/>
        <v>0</v>
      </c>
      <c r="P25" s="173">
        <v>0</v>
      </c>
      <c r="Q25" s="173">
        <f t="shared" si="4"/>
        <v>0</v>
      </c>
      <c r="R25" s="173"/>
      <c r="S25" s="173"/>
      <c r="T25" s="174">
        <v>1.333</v>
      </c>
      <c r="U25" s="173">
        <f t="shared" si="5"/>
        <v>0.91</v>
      </c>
      <c r="V25" s="175"/>
      <c r="W25" s="175"/>
      <c r="X25" s="175"/>
      <c r="Y25" s="175"/>
      <c r="Z25" s="175"/>
      <c r="AA25" s="175"/>
      <c r="AB25" s="175"/>
      <c r="AC25" s="175"/>
      <c r="AD25" s="175"/>
      <c r="AE25" s="175" t="s">
        <v>110</v>
      </c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</row>
    <row r="26" spans="1:60" x14ac:dyDescent="0.3">
      <c r="A26" s="176" t="s">
        <v>105</v>
      </c>
      <c r="B26" s="177" t="s">
        <v>74</v>
      </c>
      <c r="C26" s="178" t="s">
        <v>75</v>
      </c>
      <c r="D26" s="179"/>
      <c r="E26" s="180"/>
      <c r="F26" s="181"/>
      <c r="G26" s="181">
        <f>SUMIF(AE27,"&lt;&gt;NOR",G27)</f>
        <v>278.70999999999998</v>
      </c>
      <c r="H26" s="181"/>
      <c r="I26" s="181">
        <f>SUM(I27)</f>
        <v>0</v>
      </c>
      <c r="J26" s="181"/>
      <c r="K26" s="181">
        <f>SUM(K27)</f>
        <v>278.70999999999998</v>
      </c>
      <c r="L26" s="181"/>
      <c r="M26" s="181">
        <f>SUM(M27)</f>
        <v>337.23909999999995</v>
      </c>
      <c r="N26" s="182"/>
      <c r="O26" s="182">
        <f>SUM(O27)</f>
        <v>6.9999999999999994E-5</v>
      </c>
      <c r="P26" s="182"/>
      <c r="Q26" s="182">
        <f>SUM(Q27)</f>
        <v>0</v>
      </c>
      <c r="R26" s="182"/>
      <c r="S26" s="182"/>
      <c r="T26" s="183"/>
      <c r="U26" s="182">
        <f>SUM(U27)</f>
        <v>0.09</v>
      </c>
      <c r="AE26" t="s">
        <v>106</v>
      </c>
    </row>
    <row r="27" spans="1:60" ht="22.5" outlineLevel="1" x14ac:dyDescent="0.3">
      <c r="A27" s="166">
        <v>15</v>
      </c>
      <c r="B27" s="167" t="s">
        <v>139</v>
      </c>
      <c r="C27" s="168" t="s">
        <v>140</v>
      </c>
      <c r="D27" s="169" t="s">
        <v>113</v>
      </c>
      <c r="E27" s="170">
        <v>1</v>
      </c>
      <c r="F27" s="171">
        <v>278.70999999999998</v>
      </c>
      <c r="G27" s="172">
        <v>278.70999999999998</v>
      </c>
      <c r="H27" s="171">
        <v>0</v>
      </c>
      <c r="I27" s="172">
        <f>ROUND(E27*H27,2)</f>
        <v>0</v>
      </c>
      <c r="J27" s="171">
        <v>278.70999999999998</v>
      </c>
      <c r="K27" s="172">
        <f>ROUND(E27*J27,2)</f>
        <v>278.70999999999998</v>
      </c>
      <c r="L27" s="172">
        <v>21</v>
      </c>
      <c r="M27" s="172">
        <f>G27*(1+L27/100)</f>
        <v>337.23909999999995</v>
      </c>
      <c r="N27" s="173">
        <v>6.9999999999999994E-5</v>
      </c>
      <c r="O27" s="173">
        <f>ROUND(E27*N27,5)</f>
        <v>6.9999999999999994E-5</v>
      </c>
      <c r="P27" s="173">
        <v>0</v>
      </c>
      <c r="Q27" s="173">
        <f>ROUND(E27*P27,5)</f>
        <v>0</v>
      </c>
      <c r="R27" s="173"/>
      <c r="S27" s="173"/>
      <c r="T27" s="174">
        <v>8.6999999999999994E-2</v>
      </c>
      <c r="U27" s="173">
        <f>ROUND(E27*T27,2)</f>
        <v>0.09</v>
      </c>
      <c r="V27" s="175"/>
      <c r="W27" s="175"/>
      <c r="X27" s="175"/>
      <c r="Y27" s="175"/>
      <c r="Z27" s="175"/>
      <c r="AA27" s="175"/>
      <c r="AB27" s="175"/>
      <c r="AC27" s="175"/>
      <c r="AD27" s="175"/>
      <c r="AE27" s="175" t="s">
        <v>110</v>
      </c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175"/>
      <c r="BA27" s="175"/>
      <c r="BB27" s="175"/>
      <c r="BC27" s="175"/>
      <c r="BD27" s="175"/>
      <c r="BE27" s="175"/>
      <c r="BF27" s="175"/>
      <c r="BG27" s="175"/>
      <c r="BH27" s="175"/>
    </row>
    <row r="28" spans="1:60" x14ac:dyDescent="0.3">
      <c r="A28" s="176" t="s">
        <v>105</v>
      </c>
      <c r="B28" s="177" t="s">
        <v>35</v>
      </c>
      <c r="C28" s="178" t="s">
        <v>36</v>
      </c>
      <c r="D28" s="179"/>
      <c r="E28" s="180"/>
      <c r="F28" s="181"/>
      <c r="G28" s="181">
        <f>SUMIF(AE29,"&lt;&gt;NOR",G29)</f>
        <v>1706.4</v>
      </c>
      <c r="H28" s="181"/>
      <c r="I28" s="181">
        <f>SUM(I29)</f>
        <v>0</v>
      </c>
      <c r="J28" s="181"/>
      <c r="K28" s="181">
        <f>SUM(K29)</f>
        <v>1706.4</v>
      </c>
      <c r="L28" s="181"/>
      <c r="M28" s="181">
        <f>SUM(M29)</f>
        <v>2064.7440000000001</v>
      </c>
      <c r="N28" s="182"/>
      <c r="O28" s="182">
        <f>SUM(O29)</f>
        <v>0</v>
      </c>
      <c r="P28" s="182"/>
      <c r="Q28" s="182">
        <f>SUM(Q29)</f>
        <v>0</v>
      </c>
      <c r="R28" s="182"/>
      <c r="S28" s="182"/>
      <c r="T28" s="183"/>
      <c r="U28" s="182">
        <f>SUM(U29)</f>
        <v>0</v>
      </c>
      <c r="AE28" t="s">
        <v>106</v>
      </c>
    </row>
    <row r="29" spans="1:60" outlineLevel="1" x14ac:dyDescent="0.3">
      <c r="A29" s="184">
        <v>16</v>
      </c>
      <c r="B29" s="185" t="s">
        <v>141</v>
      </c>
      <c r="C29" s="186" t="s">
        <v>142</v>
      </c>
      <c r="D29" s="187" t="s">
        <v>23</v>
      </c>
      <c r="E29" s="188">
        <v>1</v>
      </c>
      <c r="F29" s="189">
        <v>1706.4</v>
      </c>
      <c r="G29" s="190">
        <v>1706.4</v>
      </c>
      <c r="H29" s="189">
        <v>0</v>
      </c>
      <c r="I29" s="190">
        <f>ROUND(E29*H29,2)</f>
        <v>0</v>
      </c>
      <c r="J29" s="189">
        <v>1706.4</v>
      </c>
      <c r="K29" s="190">
        <f>ROUND(E29*J29,2)</f>
        <v>1706.4</v>
      </c>
      <c r="L29" s="190">
        <v>21</v>
      </c>
      <c r="M29" s="190">
        <f>G29*(1+L29/100)</f>
        <v>2064.7440000000001</v>
      </c>
      <c r="N29" s="191">
        <v>0</v>
      </c>
      <c r="O29" s="191">
        <f>ROUND(E29*N29,5)</f>
        <v>0</v>
      </c>
      <c r="P29" s="191">
        <v>0</v>
      </c>
      <c r="Q29" s="191">
        <f>ROUND(E29*P29,5)</f>
        <v>0</v>
      </c>
      <c r="R29" s="191"/>
      <c r="S29" s="191"/>
      <c r="T29" s="192">
        <v>0</v>
      </c>
      <c r="U29" s="191">
        <f>ROUND(E29*T29,2)</f>
        <v>0</v>
      </c>
      <c r="V29" s="175"/>
      <c r="W29" s="175"/>
      <c r="X29" s="175"/>
      <c r="Y29" s="175"/>
      <c r="Z29" s="175"/>
      <c r="AA29" s="175"/>
      <c r="AB29" s="175"/>
      <c r="AC29" s="175"/>
      <c r="AD29" s="175"/>
      <c r="AE29" s="175" t="s">
        <v>110</v>
      </c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175"/>
      <c r="BA29" s="175"/>
      <c r="BB29" s="175"/>
      <c r="BC29" s="175"/>
      <c r="BD29" s="175"/>
      <c r="BE29" s="175"/>
      <c r="BF29" s="175"/>
      <c r="BG29" s="175"/>
      <c r="BH29" s="175"/>
    </row>
    <row r="30" spans="1:60" x14ac:dyDescent="0.3">
      <c r="A30" s="136"/>
      <c r="B30" s="140" t="s">
        <v>143</v>
      </c>
      <c r="C30" s="193" t="s">
        <v>143</v>
      </c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AC30">
        <v>15</v>
      </c>
      <c r="AD30">
        <v>21</v>
      </c>
    </row>
    <row r="31" spans="1:60" x14ac:dyDescent="0.3">
      <c r="A31" s="194"/>
      <c r="B31" s="195">
        <v>26</v>
      </c>
      <c r="C31" s="196" t="s">
        <v>143</v>
      </c>
      <c r="D31" s="197"/>
      <c r="E31" s="197"/>
      <c r="F31" s="197"/>
      <c r="G31" s="198">
        <f>G8+G10+G12+G16+G26+G28</f>
        <v>29716.880000000005</v>
      </c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AC31">
        <f>SUMIF(L7:L29,AC30,G7:G29)</f>
        <v>0</v>
      </c>
      <c r="AD31">
        <f>SUMIF(L7:L29,AD30,G7:G29)</f>
        <v>29716.880000000005</v>
      </c>
      <c r="AE31" t="s">
        <v>144</v>
      </c>
    </row>
    <row r="32" spans="1:60" x14ac:dyDescent="0.3">
      <c r="A32" s="136"/>
      <c r="B32" s="140" t="s">
        <v>143</v>
      </c>
      <c r="C32" s="193" t="s">
        <v>143</v>
      </c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</row>
    <row r="33" spans="1:31" x14ac:dyDescent="0.3">
      <c r="A33" s="136"/>
      <c r="B33" s="140" t="s">
        <v>143</v>
      </c>
      <c r="C33" s="193" t="s">
        <v>143</v>
      </c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</row>
    <row r="34" spans="1:31" x14ac:dyDescent="0.3">
      <c r="A34" s="272">
        <v>33</v>
      </c>
      <c r="B34" s="272"/>
      <c r="C34" s="273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</row>
    <row r="35" spans="1:31" x14ac:dyDescent="0.3">
      <c r="A35" s="253"/>
      <c r="B35" s="254"/>
      <c r="C35" s="255"/>
      <c r="D35" s="254"/>
      <c r="E35" s="254"/>
      <c r="F35" s="254"/>
      <c r="G35" s="25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AE35" t="s">
        <v>145</v>
      </c>
    </row>
    <row r="36" spans="1:31" x14ac:dyDescent="0.3">
      <c r="A36" s="257"/>
      <c r="B36" s="258"/>
      <c r="C36" s="259"/>
      <c r="D36" s="258"/>
      <c r="E36" s="258"/>
      <c r="F36" s="258"/>
      <c r="G36" s="260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</row>
    <row r="37" spans="1:31" x14ac:dyDescent="0.3">
      <c r="A37" s="257"/>
      <c r="B37" s="258"/>
      <c r="C37" s="259"/>
      <c r="D37" s="258"/>
      <c r="E37" s="258"/>
      <c r="F37" s="258"/>
      <c r="G37" s="260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</row>
    <row r="38" spans="1:31" x14ac:dyDescent="0.3">
      <c r="A38" s="257"/>
      <c r="B38" s="258"/>
      <c r="C38" s="259"/>
      <c r="D38" s="258"/>
      <c r="E38" s="258"/>
      <c r="F38" s="258"/>
      <c r="G38" s="260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</row>
    <row r="39" spans="1:31" x14ac:dyDescent="0.3">
      <c r="A39" s="261"/>
      <c r="B39" s="262"/>
      <c r="C39" s="263"/>
      <c r="D39" s="262"/>
      <c r="E39" s="262"/>
      <c r="F39" s="262"/>
      <c r="G39" s="264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</row>
    <row r="40" spans="1:31" x14ac:dyDescent="0.3">
      <c r="A40" s="136"/>
      <c r="B40" s="140" t="s">
        <v>143</v>
      </c>
      <c r="C40" s="193" t="s">
        <v>143</v>
      </c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</row>
    <row r="41" spans="1:31" x14ac:dyDescent="0.3">
      <c r="C41" s="199"/>
      <c r="AE41" t="s">
        <v>146</v>
      </c>
    </row>
  </sheetData>
  <mergeCells count="6">
    <mergeCell ref="A35:G39"/>
    <mergeCell ref="A1:G1"/>
    <mergeCell ref="C2:G2"/>
    <mergeCell ref="C3:G3"/>
    <mergeCell ref="C4:G4"/>
    <mergeCell ref="A34:C34"/>
  </mergeCells>
  <pageMargins left="0.59027779999999996" right="0.39374999999999999" top="0.78749999999999998" bottom="0.7874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Žlebčík Mojmír - Raeder&amp;Falge</cp:lastModifiedBy>
  <cp:lastPrinted>2014-02-28T09:52:57Z</cp:lastPrinted>
  <dcterms:created xsi:type="dcterms:W3CDTF">2009-04-08T07:15:50Z</dcterms:created>
  <dcterms:modified xsi:type="dcterms:W3CDTF">2021-04-01T12:53:49Z</dcterms:modified>
</cp:coreProperties>
</file>